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rison\Documents\InvestingFinance\05. Personal Finance Spreadsheets\"/>
    </mc:Choice>
  </mc:AlternateContent>
  <xr:revisionPtr revIDLastSave="0" documentId="8_{F6E2C48E-CC37-4389-BEFE-0650F62141DB}" xr6:coauthVersionLast="36" xr6:coauthVersionMax="36" xr10:uidLastSave="{00000000-0000-0000-0000-000000000000}"/>
  <bookViews>
    <workbookView xWindow="0" yWindow="0" windowWidth="23040" windowHeight="8940" activeTab="1" xr2:uid="{DBFD352B-DF00-47D0-B010-9F036AC66E90}"/>
  </bookViews>
  <sheets>
    <sheet name="Tools -&gt;" sheetId="5" r:id="rId1"/>
    <sheet name="Monte Carlo" sheetId="2" r:id="rId2"/>
    <sheet name="Portfolio Optimizer" sheetId="1" r:id="rId3"/>
    <sheet name="Stock Price Predictor" sheetId="3" r:id="rId4"/>
    <sheet name="Options Models" sheetId="4" r:id="rId5"/>
  </sheets>
  <externalReferences>
    <externalReference r:id="rId6"/>
  </externalReferences>
  <definedNames>
    <definedName name="_arg1">'Options Models'!$F$4</definedName>
    <definedName name="_arg2">'Options Models'!$F$5</definedName>
    <definedName name="anndiv">'Options Models'!$C$9</definedName>
    <definedName name="anndiv_4">'Options Models'!$K$9</definedName>
    <definedName name="annrate">'Options Models'!$C$6</definedName>
    <definedName name="annrate_2">'Options Models'!$C$6</definedName>
    <definedName name="annrate_3">'Options Models'!$K$6</definedName>
    <definedName name="annrate2">'Options Models'!$K$16</definedName>
    <definedName name="arg1_2">'Options Models'!$N$4</definedName>
    <definedName name="arg2_3">'Options Models'!$N$5</definedName>
    <definedName name="average">'[1]Spend Tables'!$GJ$2:$GJ$181</definedName>
    <definedName name="chart_average">INDEX(average,MATCH('[1]Spend Tables'!$B$3,period,0)):INDEX(average,MATCH('[1]Spend Tables'!$B$4,period,0))</definedName>
    <definedName name="chart_period">INDEX(period,MATCH('[1]Spend Tables'!$B$3,period,0)):INDEX(period,MATCH('[1]Spend Tables'!$B$4,period,0))</definedName>
    <definedName name="chart_target">INDEX(target,MATCH('[1]Spend Tables'!$B$3,period,0)):INDEX(target,MATCH('[1]Spend Tables'!$B$4,period,0))</definedName>
    <definedName name="chart_total">INDEX(total,MATCH('[1]Spend Tables'!$B$3,period,0)):INDEX(total,MATCH('[1]Spend Tables'!$B$4,period,0))</definedName>
    <definedName name="Div2_2">'Options Models'!$K$19</definedName>
    <definedName name="dt">'Stock Price Predictor'!$C$7</definedName>
    <definedName name="matur2">'Options Models'!$K$15</definedName>
    <definedName name="mu">'Stock Price Predictor'!$C$6</definedName>
    <definedName name="narg1">'Options Models'!$F$6</definedName>
    <definedName name="narg1_3">'Options Models'!$N$6</definedName>
    <definedName name="narg2">'Options Models'!$F$7</definedName>
    <definedName name="narg2_3">'Options Models'!$N$7</definedName>
    <definedName name="period">'[1]Spend Tables'!$GH$2:$GH$181</definedName>
    <definedName name="S_2">'Options Models'!$K$17</definedName>
    <definedName name="S0">'Stock Price Predictor'!$C$4</definedName>
    <definedName name="s0_2">'Options Models'!$C$7</definedName>
    <definedName name="s0_3">'Options Models'!$C$7</definedName>
    <definedName name="s0_4">'Options Models'!$K$7</definedName>
    <definedName name="sigma">'Stock Price Predictor'!$C$5</definedName>
    <definedName name="Sigma_2">'Options Models'!$C$4</definedName>
    <definedName name="Sigma_3">'Options Models'!$C$4</definedName>
    <definedName name="Sigma_4">'Options Models'!$K$4</definedName>
    <definedName name="sigma2">'Options Models'!$K$14</definedName>
    <definedName name="solver_adj" localSheetId="2" hidden="1">'Portfolio Optimizer'!$P$16:$P$25</definedName>
    <definedName name="solver_cvg" localSheetId="2" hidden="1">0.0001</definedName>
    <definedName name="solver_drv" localSheetId="2" hidden="1">1</definedName>
    <definedName name="solver_eng" localSheetId="2" hidden="1">1</definedName>
    <definedName name="solver_est" localSheetId="2" hidden="1">1</definedName>
    <definedName name="solver_itr" localSheetId="2" hidden="1">2147483647</definedName>
    <definedName name="solver_lhs1" localSheetId="2" hidden="1">'Portfolio Optimizer'!$P$16:$P$25</definedName>
    <definedName name="solver_lhs2" localSheetId="2" hidden="1">'Portfolio Optimizer'!$P$28</definedName>
    <definedName name="solver_lhs3" localSheetId="2" hidden="1">'Portfolio Optimizer'!$P$16:$P$25</definedName>
    <definedName name="solver_lhs4" localSheetId="2" hidden="1">'Portfolio Optimizer'!$P$16:$P$25</definedName>
    <definedName name="solver_lhs5" localSheetId="2" hidden="1">'Portfolio Optimizer'!$P$16:$P$25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2" hidden="1">1</definedName>
    <definedName name="solver_nod" localSheetId="2" hidden="1">2147483647</definedName>
    <definedName name="solver_num" localSheetId="2" hidden="1">5</definedName>
    <definedName name="solver_nwt" localSheetId="2" hidden="1">1</definedName>
    <definedName name="solver_opt" localSheetId="2" hidden="1">'Portfolio Optimizer'!$P$33</definedName>
    <definedName name="solver_pre" localSheetId="2" hidden="1">0.000001</definedName>
    <definedName name="solver_rbv" localSheetId="2" hidden="1">1</definedName>
    <definedName name="solver_rel1" localSheetId="2" hidden="1">1</definedName>
    <definedName name="solver_rel2" localSheetId="2" hidden="1">1</definedName>
    <definedName name="solver_rel3" localSheetId="2" hidden="1">1</definedName>
    <definedName name="solver_rel4" localSheetId="2" hidden="1">1</definedName>
    <definedName name="solver_rel5" localSheetId="2" hidden="1">1</definedName>
    <definedName name="solver_rhs1" localSheetId="2" hidden="1">'Portfolio Optimizer'!$P$27</definedName>
    <definedName name="solver_rhs2" localSheetId="2" hidden="1">1</definedName>
    <definedName name="solver_rhs3" localSheetId="2" hidden="1">'Portfolio Optimizer'!$P$27</definedName>
    <definedName name="solver_rhs4" localSheetId="2" hidden="1">'Portfolio Optimizer'!$P$27</definedName>
    <definedName name="solver_rhs5" localSheetId="2" hidden="1">'Portfolio Optimizer'!$P$27</definedName>
    <definedName name="solver_rlx" localSheetId="2" hidden="1">2</definedName>
    <definedName name="solver_rsd" localSheetId="2" hidden="1">0</definedName>
    <definedName name="solver_scl" localSheetId="2" hidden="1">1</definedName>
    <definedName name="solver_sho" localSheetId="2" hidden="1">2</definedName>
    <definedName name="solver_ssz" localSheetId="2" hidden="1">100</definedName>
    <definedName name="solver_tim" localSheetId="2" hidden="1">2147483647</definedName>
    <definedName name="solver_tol" localSheetId="2" hidden="1">0.01</definedName>
    <definedName name="solver_typ" localSheetId="2" hidden="1">1</definedName>
    <definedName name="solver_val" localSheetId="2" hidden="1">0</definedName>
    <definedName name="solver_ver" localSheetId="2" hidden="1">3</definedName>
    <definedName name="stepsize">'Options Models'!$K$11</definedName>
    <definedName name="T">'Options Models'!$C$5</definedName>
    <definedName name="T_3">'Options Models'!$K$5</definedName>
    <definedName name="target">'[1]Spend Tables'!$GK$2:$GK$181</definedName>
    <definedName name="total">'[1]Spend Tables'!$GI$2:$GI$181</definedName>
    <definedName name="X">'Options Models'!$C$8</definedName>
    <definedName name="X_2">'Options Models'!$C$8</definedName>
    <definedName name="X_3">'Options Models'!$K$8</definedName>
    <definedName name="X_4">'Options Models'!$K$18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5" i="4" l="1"/>
  <c r="N14" i="4"/>
  <c r="N16" i="4" s="1"/>
  <c r="N4" i="4"/>
  <c r="N6" i="4" s="1"/>
  <c r="F4" i="4"/>
  <c r="F6" i="4" s="1"/>
  <c r="M56" i="3"/>
  <c r="C9" i="3" s="1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B14" i="3"/>
  <c r="B38" i="3" s="1"/>
  <c r="B13" i="3"/>
  <c r="F12" i="3"/>
  <c r="D13" i="3" s="1"/>
  <c r="BH46" i="2"/>
  <c r="BG46" i="2"/>
  <c r="BF46" i="2"/>
  <c r="BE46" i="2"/>
  <c r="BD46" i="2"/>
  <c r="BC46" i="2"/>
  <c r="BB46" i="2"/>
  <c r="BA46" i="2"/>
  <c r="AZ46" i="2"/>
  <c r="AY46" i="2"/>
  <c r="AX46" i="2"/>
  <c r="AW46" i="2"/>
  <c r="AV46" i="2"/>
  <c r="AU46" i="2"/>
  <c r="AT46" i="2"/>
  <c r="AS46" i="2"/>
  <c r="AR46" i="2"/>
  <c r="AQ46" i="2"/>
  <c r="AP46" i="2"/>
  <c r="AO46" i="2"/>
  <c r="AN46" i="2"/>
  <c r="AM46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B38" i="2"/>
  <c r="A38" i="2"/>
  <c r="B37" i="2"/>
  <c r="A37" i="2"/>
  <c r="B36" i="2"/>
  <c r="A36" i="2"/>
  <c r="B35" i="2"/>
  <c r="A35" i="2"/>
  <c r="B34" i="2"/>
  <c r="A34" i="2"/>
  <c r="B33" i="2"/>
  <c r="A33" i="2"/>
  <c r="B32" i="2"/>
  <c r="A32" i="2"/>
  <c r="B31" i="2"/>
  <c r="A31" i="2"/>
  <c r="B30" i="2"/>
  <c r="A30" i="2"/>
  <c r="B29" i="2"/>
  <c r="A29" i="2"/>
  <c r="B28" i="2"/>
  <c r="A28" i="2"/>
  <c r="BH25" i="2"/>
  <c r="BG25" i="2"/>
  <c r="BF25" i="2"/>
  <c r="BE25" i="2"/>
  <c r="BD25" i="2"/>
  <c r="BC25" i="2"/>
  <c r="BB25" i="2"/>
  <c r="BA25" i="2"/>
  <c r="AZ25" i="2"/>
  <c r="AY25" i="2"/>
  <c r="AX25" i="2"/>
  <c r="AW25" i="2"/>
  <c r="AV25" i="2"/>
  <c r="AU25" i="2"/>
  <c r="AT25" i="2"/>
  <c r="AS25" i="2"/>
  <c r="AR25" i="2"/>
  <c r="AQ25" i="2"/>
  <c r="AP25" i="2"/>
  <c r="AO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P31" i="2" s="1"/>
  <c r="BH24" i="2"/>
  <c r="BG24" i="2"/>
  <c r="BF24" i="2"/>
  <c r="BE24" i="2"/>
  <c r="BD24" i="2"/>
  <c r="BC24" i="2"/>
  <c r="BB24" i="2"/>
  <c r="BA24" i="2"/>
  <c r="AZ24" i="2"/>
  <c r="AY24" i="2"/>
  <c r="AX24" i="2"/>
  <c r="AW24" i="2"/>
  <c r="AV24" i="2"/>
  <c r="AU24" i="2"/>
  <c r="AT24" i="2"/>
  <c r="AS24" i="2"/>
  <c r="AR24" i="2"/>
  <c r="AQ24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P30" i="2" s="1"/>
  <c r="I24" i="2"/>
  <c r="BH23" i="2"/>
  <c r="BG23" i="2"/>
  <c r="BF23" i="2"/>
  <c r="BE23" i="2"/>
  <c r="BD23" i="2"/>
  <c r="BC23" i="2"/>
  <c r="BB23" i="2"/>
  <c r="BA23" i="2"/>
  <c r="AZ23" i="2"/>
  <c r="AY23" i="2"/>
  <c r="AX23" i="2"/>
  <c r="AW23" i="2"/>
  <c r="AV23" i="2"/>
  <c r="AU23" i="2"/>
  <c r="AT23" i="2"/>
  <c r="AS23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P29" i="2" s="1"/>
  <c r="I23" i="2"/>
  <c r="BH22" i="2"/>
  <c r="BG22" i="2"/>
  <c r="BF22" i="2"/>
  <c r="BE22" i="2"/>
  <c r="BD22" i="2"/>
  <c r="BC22" i="2"/>
  <c r="BB22" i="2"/>
  <c r="BA22" i="2"/>
  <c r="AZ22" i="2"/>
  <c r="AY22" i="2"/>
  <c r="AX22" i="2"/>
  <c r="AW22" i="2"/>
  <c r="AV22" i="2"/>
  <c r="AU22" i="2"/>
  <c r="AT22" i="2"/>
  <c r="AS22" i="2"/>
  <c r="AR22" i="2"/>
  <c r="AQ22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P28" i="2" s="1"/>
  <c r="O22" i="2"/>
  <c r="O28" i="2" s="1"/>
  <c r="I22" i="2"/>
  <c r="I21" i="2"/>
  <c r="I20" i="2"/>
  <c r="O19" i="2"/>
  <c r="I19" i="2"/>
  <c r="O18" i="2"/>
  <c r="I18" i="2"/>
  <c r="I17" i="2"/>
  <c r="I16" i="2"/>
  <c r="I15" i="2"/>
  <c r="P11" i="2"/>
  <c r="O11" i="2"/>
  <c r="O25" i="2" s="1"/>
  <c r="O31" i="2" s="1"/>
  <c r="P10" i="2"/>
  <c r="O10" i="2"/>
  <c r="O17" i="2" s="1"/>
  <c r="G10" i="2"/>
  <c r="H10" i="2" s="1"/>
  <c r="P9" i="2"/>
  <c r="O9" i="2"/>
  <c r="O16" i="2" s="1"/>
  <c r="P8" i="2"/>
  <c r="O8" i="2"/>
  <c r="O15" i="2" s="1"/>
  <c r="H7" i="2"/>
  <c r="H6" i="2"/>
  <c r="H5" i="2"/>
  <c r="L4" i="2"/>
  <c r="H4" i="2"/>
  <c r="L3" i="2"/>
  <c r="M3" i="2" s="1"/>
  <c r="P2" i="2"/>
  <c r="P4" i="2" s="1"/>
  <c r="P28" i="1"/>
  <c r="AJ16" i="1"/>
  <c r="AI16" i="1"/>
  <c r="AH16" i="1"/>
  <c r="AG16" i="1"/>
  <c r="AF16" i="1"/>
  <c r="AE16" i="1"/>
  <c r="AD16" i="1"/>
  <c r="AC16" i="1"/>
  <c r="AB16" i="1"/>
  <c r="AA16" i="1"/>
  <c r="AJ15" i="1"/>
  <c r="AI15" i="1"/>
  <c r="AH15" i="1"/>
  <c r="AG15" i="1"/>
  <c r="AF15" i="1"/>
  <c r="AE15" i="1"/>
  <c r="AD15" i="1"/>
  <c r="AC15" i="1"/>
  <c r="AB15" i="1"/>
  <c r="AA15" i="1"/>
  <c r="AJ14" i="1"/>
  <c r="AI14" i="1"/>
  <c r="AH14" i="1"/>
  <c r="AG14" i="1"/>
  <c r="AF14" i="1"/>
  <c r="AE14" i="1"/>
  <c r="AD14" i="1"/>
  <c r="AC14" i="1"/>
  <c r="AB14" i="1"/>
  <c r="AA14" i="1"/>
  <c r="AJ13" i="1"/>
  <c r="AI13" i="1"/>
  <c r="AH13" i="1"/>
  <c r="AG13" i="1"/>
  <c r="AF13" i="1"/>
  <c r="AE13" i="1"/>
  <c r="AD13" i="1"/>
  <c r="AC13" i="1"/>
  <c r="AB13" i="1"/>
  <c r="AA13" i="1"/>
  <c r="AJ12" i="1"/>
  <c r="AI12" i="1"/>
  <c r="AH12" i="1"/>
  <c r="AG12" i="1"/>
  <c r="AF12" i="1"/>
  <c r="AE12" i="1"/>
  <c r="AD12" i="1"/>
  <c r="AC12" i="1"/>
  <c r="AB12" i="1"/>
  <c r="AA12" i="1"/>
  <c r="AJ11" i="1"/>
  <c r="AI11" i="1"/>
  <c r="AH11" i="1"/>
  <c r="AG11" i="1"/>
  <c r="AF11" i="1"/>
  <c r="AE11" i="1"/>
  <c r="AD11" i="1"/>
  <c r="AC11" i="1"/>
  <c r="AB11" i="1"/>
  <c r="AA11" i="1"/>
  <c r="AJ10" i="1"/>
  <c r="AI10" i="1"/>
  <c r="AH10" i="1"/>
  <c r="AG10" i="1"/>
  <c r="AF10" i="1"/>
  <c r="AE10" i="1"/>
  <c r="AD10" i="1"/>
  <c r="AC10" i="1"/>
  <c r="AB10" i="1"/>
  <c r="AA10" i="1"/>
  <c r="X10" i="1"/>
  <c r="X11" i="1" s="1"/>
  <c r="U10" i="1"/>
  <c r="U11" i="1" s="1"/>
  <c r="AJ9" i="1"/>
  <c r="AI9" i="1"/>
  <c r="AH9" i="1"/>
  <c r="AG9" i="1"/>
  <c r="AF9" i="1"/>
  <c r="AE9" i="1"/>
  <c r="AD9" i="1"/>
  <c r="AC9" i="1"/>
  <c r="AB9" i="1"/>
  <c r="AA9" i="1"/>
  <c r="X9" i="1"/>
  <c r="W9" i="1"/>
  <c r="W10" i="1" s="1"/>
  <c r="W11" i="1" s="1"/>
  <c r="V9" i="1"/>
  <c r="V10" i="1" s="1"/>
  <c r="V11" i="1" s="1"/>
  <c r="U9" i="1"/>
  <c r="T9" i="1"/>
  <c r="T10" i="1" s="1"/>
  <c r="T11" i="1" s="1"/>
  <c r="S9" i="1"/>
  <c r="S10" i="1" s="1"/>
  <c r="S11" i="1" s="1"/>
  <c r="R9" i="1"/>
  <c r="R10" i="1" s="1"/>
  <c r="R11" i="1" s="1"/>
  <c r="Q9" i="1"/>
  <c r="Q10" i="1" s="1"/>
  <c r="Q11" i="1" s="1"/>
  <c r="P9" i="1"/>
  <c r="P10" i="1" s="1"/>
  <c r="P11" i="1" s="1"/>
  <c r="O9" i="1"/>
  <c r="O10" i="1" s="1"/>
  <c r="O11" i="1" s="1"/>
  <c r="AJ8" i="1"/>
  <c r="AI8" i="1"/>
  <c r="AH8" i="1"/>
  <c r="AG8" i="1"/>
  <c r="AF8" i="1"/>
  <c r="AE8" i="1"/>
  <c r="AD8" i="1"/>
  <c r="AC8" i="1"/>
  <c r="AB8" i="1"/>
  <c r="AA8" i="1"/>
  <c r="X8" i="1"/>
  <c r="O25" i="1" s="1"/>
  <c r="S8" i="1"/>
  <c r="O20" i="1" s="1"/>
  <c r="R8" i="1"/>
  <c r="O19" i="1" s="1"/>
  <c r="O8" i="1"/>
  <c r="O16" i="1" s="1"/>
  <c r="AJ7" i="1"/>
  <c r="AI7" i="1"/>
  <c r="AH7" i="1"/>
  <c r="AG7" i="1"/>
  <c r="AF7" i="1"/>
  <c r="AE7" i="1"/>
  <c r="AD7" i="1"/>
  <c r="AC7" i="1"/>
  <c r="AB7" i="1"/>
  <c r="AA7" i="1"/>
  <c r="P31" i="1" s="1" a="1"/>
  <c r="P31" i="1" s="1"/>
  <c r="P32" i="1" s="1"/>
  <c r="Z7" i="1"/>
  <c r="X7" i="1"/>
  <c r="W7" i="1"/>
  <c r="W8" i="1" s="1"/>
  <c r="O24" i="1" s="1"/>
  <c r="V7" i="1"/>
  <c r="V8" i="1" s="1"/>
  <c r="O23" i="1" s="1"/>
  <c r="U7" i="1"/>
  <c r="U8" i="1" s="1"/>
  <c r="O22" i="1" s="1"/>
  <c r="T7" i="1"/>
  <c r="T8" i="1" s="1"/>
  <c r="O21" i="1" s="1"/>
  <c r="S7" i="1"/>
  <c r="R7" i="1"/>
  <c r="Q7" i="1"/>
  <c r="Q8" i="1" s="1"/>
  <c r="O18" i="1" s="1"/>
  <c r="P7" i="1"/>
  <c r="P8" i="1" s="1"/>
  <c r="O17" i="1" s="1"/>
  <c r="O7" i="1"/>
  <c r="AI6" i="1"/>
  <c r="AH6" i="1"/>
  <c r="AG6" i="1"/>
  <c r="AC6" i="1"/>
  <c r="AB6" i="1"/>
  <c r="AA6" i="1"/>
  <c r="X6" i="1"/>
  <c r="N25" i="1" s="1"/>
  <c r="Z16" i="1" s="1"/>
  <c r="W6" i="1"/>
  <c r="N24" i="1" s="1"/>
  <c r="Z15" i="1" s="1"/>
  <c r="V6" i="1"/>
  <c r="N23" i="1" s="1"/>
  <c r="Z14" i="1" s="1"/>
  <c r="U6" i="1"/>
  <c r="N22" i="1" s="1"/>
  <c r="Z13" i="1" s="1"/>
  <c r="T6" i="1"/>
  <c r="N21" i="1" s="1"/>
  <c r="Z12" i="1" s="1"/>
  <c r="S6" i="1"/>
  <c r="N20" i="1" s="1"/>
  <c r="Z11" i="1" s="1"/>
  <c r="R6" i="1"/>
  <c r="Q6" i="1"/>
  <c r="N18" i="1" s="1"/>
  <c r="Z9" i="1" s="1"/>
  <c r="P6" i="1"/>
  <c r="N17" i="1" s="1"/>
  <c r="Z8" i="1" s="1"/>
  <c r="O6" i="1"/>
  <c r="N16" i="1" s="1"/>
  <c r="I10" i="2" l="1"/>
  <c r="P12" i="2" s="1"/>
  <c r="P3" i="2"/>
  <c r="P30" i="1" a="1"/>
  <c r="P30" i="1" s="1"/>
  <c r="P33" i="1" s="1"/>
  <c r="AE6" i="1"/>
  <c r="AF6" i="1"/>
  <c r="AJ6" i="1"/>
  <c r="AD6" i="1"/>
  <c r="N19" i="1"/>
  <c r="Z10" i="1" s="1"/>
  <c r="P33" i="2"/>
  <c r="F12" i="4"/>
  <c r="F11" i="4"/>
  <c r="N8" i="4"/>
  <c r="N9" i="4" s="1"/>
  <c r="N10" i="4"/>
  <c r="K25" i="4" s="1"/>
  <c r="N11" i="4"/>
  <c r="N21" i="4"/>
  <c r="N20" i="4"/>
  <c r="L25" i="4" s="1"/>
  <c r="U25" i="4"/>
  <c r="O24" i="2"/>
  <c r="O30" i="2" s="1"/>
  <c r="B15" i="3"/>
  <c r="O23" i="2"/>
  <c r="O29" i="2" s="1"/>
  <c r="Q2" i="2"/>
  <c r="Q9" i="2" s="1"/>
  <c r="F15" i="4"/>
  <c r="N15" i="4"/>
  <c r="N17" i="4" s="1"/>
  <c r="N18" i="4" s="1"/>
  <c r="N19" i="4" s="1"/>
  <c r="P24" i="4"/>
  <c r="P26" i="4"/>
  <c r="F5" i="4"/>
  <c r="F7" i="4" s="1"/>
  <c r="F17" i="4" s="1"/>
  <c r="N5" i="4"/>
  <c r="N7" i="4" s="1"/>
  <c r="N22" i="4"/>
  <c r="L26" i="4" s="1"/>
  <c r="C13" i="3"/>
  <c r="E13" i="3" s="1"/>
  <c r="F13" i="3" s="1"/>
  <c r="F16" i="4"/>
  <c r="N12" i="4"/>
  <c r="K26" i="4" s="1"/>
  <c r="M30" i="4" s="1"/>
  <c r="Q25" i="4"/>
  <c r="R25" i="4"/>
  <c r="Q10" i="2" l="1"/>
  <c r="Q11" i="2"/>
  <c r="D14" i="3"/>
  <c r="C14" i="3"/>
  <c r="F8" i="4"/>
  <c r="F9" i="4" s="1"/>
  <c r="F14" i="4" s="1"/>
  <c r="P27" i="4"/>
  <c r="R26" i="4"/>
  <c r="Q26" i="4"/>
  <c r="B39" i="3"/>
  <c r="B16" i="3"/>
  <c r="F13" i="4"/>
  <c r="P23" i="4"/>
  <c r="R24" i="4"/>
  <c r="Q24" i="4"/>
  <c r="T24" i="4" s="1"/>
  <c r="U26" i="4"/>
  <c r="U24" i="4"/>
  <c r="L30" i="4"/>
  <c r="L29" i="4"/>
  <c r="N29" i="4" s="1"/>
  <c r="Q8" i="2"/>
  <c r="R2" i="2"/>
  <c r="Q4" i="2"/>
  <c r="T25" i="4"/>
  <c r="T26" i="4"/>
  <c r="N30" i="4"/>
  <c r="P5" i="2"/>
  <c r="Q3" i="2"/>
  <c r="Q12" i="2"/>
  <c r="E14" i="3" l="1"/>
  <c r="F14" i="3" s="1"/>
  <c r="R11" i="2"/>
  <c r="R23" i="4"/>
  <c r="Q23" i="4"/>
  <c r="T23" i="4" s="1"/>
  <c r="P22" i="4"/>
  <c r="U23" i="4"/>
  <c r="B17" i="3"/>
  <c r="B40" i="3"/>
  <c r="P28" i="4"/>
  <c r="R27" i="4"/>
  <c r="V27" i="4" s="1"/>
  <c r="Q27" i="4"/>
  <c r="T27" i="4" s="1"/>
  <c r="U27" i="4"/>
  <c r="S2" i="2"/>
  <c r="R4" i="2"/>
  <c r="R12" i="2"/>
  <c r="S12" i="2" s="1"/>
  <c r="R8" i="2"/>
  <c r="S8" i="2" s="1"/>
  <c r="Q5" i="2"/>
  <c r="R3" i="2"/>
  <c r="R10" i="2"/>
  <c r="R9" i="2"/>
  <c r="P15" i="2"/>
  <c r="P16" i="2"/>
  <c r="P17" i="2"/>
  <c r="P18" i="2"/>
  <c r="P19" i="2"/>
  <c r="V26" i="4"/>
  <c r="V24" i="4"/>
  <c r="V23" i="4"/>
  <c r="V25" i="4"/>
  <c r="D15" i="3"/>
  <c r="C15" i="3"/>
  <c r="Q15" i="2" l="1"/>
  <c r="Q28" i="2" s="1"/>
  <c r="Q16" i="2"/>
  <c r="Q29" i="2" s="1"/>
  <c r="Q17" i="2"/>
  <c r="Q30" i="2" s="1"/>
  <c r="Q18" i="2"/>
  <c r="Q31" i="2" s="1"/>
  <c r="Q19" i="2"/>
  <c r="T2" i="2"/>
  <c r="T12" i="2" s="1"/>
  <c r="S4" i="2"/>
  <c r="P29" i="4"/>
  <c r="R28" i="4"/>
  <c r="Q28" i="4"/>
  <c r="T28" i="4" s="1"/>
  <c r="U28" i="4"/>
  <c r="B18" i="3"/>
  <c r="B41" i="3"/>
  <c r="V28" i="4"/>
  <c r="U22" i="4"/>
  <c r="R22" i="4"/>
  <c r="V22" i="4" s="1"/>
  <c r="Q22" i="4"/>
  <c r="T22" i="4" s="1"/>
  <c r="P21" i="4"/>
  <c r="S9" i="2"/>
  <c r="E15" i="3"/>
  <c r="F15" i="3" s="1"/>
  <c r="S10" i="2"/>
  <c r="R5" i="2"/>
  <c r="S3" i="2"/>
  <c r="S11" i="2"/>
  <c r="T8" i="2" l="1"/>
  <c r="T9" i="2"/>
  <c r="T11" i="2"/>
  <c r="T10" i="2"/>
  <c r="B42" i="3"/>
  <c r="B19" i="3"/>
  <c r="R15" i="2"/>
  <c r="R28" i="2" s="1"/>
  <c r="R16" i="2"/>
  <c r="R29" i="2" s="1"/>
  <c r="R17" i="2"/>
  <c r="R30" i="2" s="1"/>
  <c r="R18" i="2"/>
  <c r="R31" i="2" s="1"/>
  <c r="R19" i="2"/>
  <c r="R29" i="4"/>
  <c r="V29" i="4" s="1"/>
  <c r="Q29" i="4"/>
  <c r="T29" i="4" s="1"/>
  <c r="P30" i="4"/>
  <c r="U29" i="4"/>
  <c r="U2" i="2"/>
  <c r="U12" i="2" s="1"/>
  <c r="T4" i="2"/>
  <c r="T3" i="2"/>
  <c r="S5" i="2"/>
  <c r="D16" i="3"/>
  <c r="C16" i="3"/>
  <c r="P20" i="4"/>
  <c r="R21" i="4"/>
  <c r="V21" i="4" s="1"/>
  <c r="Q21" i="4"/>
  <c r="T21" i="4" s="1"/>
  <c r="U21" i="4"/>
  <c r="Q33" i="2"/>
  <c r="U10" i="2" l="1"/>
  <c r="U9" i="2"/>
  <c r="U8" i="2"/>
  <c r="E16" i="3"/>
  <c r="F16" i="3" s="1"/>
  <c r="D17" i="3" s="1"/>
  <c r="U11" i="2"/>
  <c r="P31" i="4"/>
  <c r="R30" i="4"/>
  <c r="V30" i="4" s="1"/>
  <c r="Q30" i="4"/>
  <c r="T30" i="4" s="1"/>
  <c r="U30" i="4"/>
  <c r="R20" i="4"/>
  <c r="V20" i="4" s="1"/>
  <c r="Q20" i="4"/>
  <c r="T20" i="4" s="1"/>
  <c r="P19" i="4"/>
  <c r="U20" i="4"/>
  <c r="R33" i="2"/>
  <c r="S15" i="2"/>
  <c r="S28" i="2" s="1"/>
  <c r="S16" i="2"/>
  <c r="S29" i="2" s="1"/>
  <c r="S17" i="2"/>
  <c r="S30" i="2" s="1"/>
  <c r="S18" i="2"/>
  <c r="S31" i="2" s="1"/>
  <c r="S19" i="2"/>
  <c r="U3" i="2"/>
  <c r="T5" i="2"/>
  <c r="B20" i="3"/>
  <c r="B43" i="3"/>
  <c r="V2" i="2"/>
  <c r="V12" i="2" s="1"/>
  <c r="U4" i="2"/>
  <c r="V9" i="2" l="1"/>
  <c r="C17" i="3"/>
  <c r="E17" i="3" s="1"/>
  <c r="F17" i="3" s="1"/>
  <c r="W2" i="2"/>
  <c r="V4" i="2"/>
  <c r="V3" i="2"/>
  <c r="U5" i="2"/>
  <c r="B21" i="3"/>
  <c r="B44" i="3"/>
  <c r="V11" i="2"/>
  <c r="W11" i="2" s="1"/>
  <c r="P18" i="4"/>
  <c r="R19" i="4"/>
  <c r="V19" i="4" s="1"/>
  <c r="Q19" i="4"/>
  <c r="T19" i="4" s="1"/>
  <c r="U19" i="4"/>
  <c r="T15" i="2"/>
  <c r="T28" i="2" s="1"/>
  <c r="T16" i="2"/>
  <c r="T29" i="2" s="1"/>
  <c r="T17" i="2"/>
  <c r="T30" i="2" s="1"/>
  <c r="T18" i="2"/>
  <c r="T31" i="2" s="1"/>
  <c r="T19" i="2"/>
  <c r="P32" i="4"/>
  <c r="R31" i="4"/>
  <c r="V31" i="4" s="1"/>
  <c r="Q31" i="4"/>
  <c r="T31" i="4" s="1"/>
  <c r="U31" i="4"/>
  <c r="V8" i="2"/>
  <c r="W8" i="2" s="1"/>
  <c r="S33" i="2"/>
  <c r="V10" i="2"/>
  <c r="W10" i="2" s="1"/>
  <c r="W9" i="2" l="1"/>
  <c r="C18" i="3"/>
  <c r="D18" i="3"/>
  <c r="E18" i="3" s="1"/>
  <c r="F18" i="3" s="1"/>
  <c r="R18" i="4"/>
  <c r="V18" i="4" s="1"/>
  <c r="Q18" i="4"/>
  <c r="T18" i="4" s="1"/>
  <c r="P17" i="4"/>
  <c r="U18" i="4"/>
  <c r="W3" i="2"/>
  <c r="V5" i="2"/>
  <c r="X2" i="2"/>
  <c r="X9" i="2" s="1"/>
  <c r="W4" i="2"/>
  <c r="R32" i="4"/>
  <c r="V32" i="4" s="1"/>
  <c r="Q32" i="4"/>
  <c r="T32" i="4" s="1"/>
  <c r="P33" i="4"/>
  <c r="U32" i="4"/>
  <c r="B45" i="3"/>
  <c r="B22" i="3"/>
  <c r="U15" i="2"/>
  <c r="U28" i="2" s="1"/>
  <c r="U16" i="2"/>
  <c r="U29" i="2" s="1"/>
  <c r="U17" i="2"/>
  <c r="U30" i="2" s="1"/>
  <c r="U18" i="2"/>
  <c r="U31" i="2" s="1"/>
  <c r="U19" i="2"/>
  <c r="T33" i="2"/>
  <c r="W12" i="2"/>
  <c r="X12" i="2" s="1"/>
  <c r="D19" i="3" l="1"/>
  <c r="E19" i="3" s="1"/>
  <c r="F19" i="3" s="1"/>
  <c r="C19" i="3"/>
  <c r="U33" i="2"/>
  <c r="P34" i="4"/>
  <c r="R33" i="4"/>
  <c r="V33" i="4" s="1"/>
  <c r="Q33" i="4"/>
  <c r="T33" i="4" s="1"/>
  <c r="U33" i="4"/>
  <c r="X10" i="2"/>
  <c r="Y10" i="2" s="1"/>
  <c r="V15" i="2"/>
  <c r="V28" i="2" s="1"/>
  <c r="V16" i="2"/>
  <c r="V29" i="2" s="1"/>
  <c r="V17" i="2"/>
  <c r="V30" i="2" s="1"/>
  <c r="V18" i="2"/>
  <c r="V31" i="2" s="1"/>
  <c r="V19" i="2"/>
  <c r="X3" i="2"/>
  <c r="W5" i="2"/>
  <c r="D20" i="3"/>
  <c r="E20" i="3" s="1"/>
  <c r="F20" i="3" s="1"/>
  <c r="C20" i="3"/>
  <c r="X8" i="2"/>
  <c r="B46" i="3"/>
  <c r="B23" i="3"/>
  <c r="P16" i="4"/>
  <c r="R17" i="4"/>
  <c r="V17" i="4" s="1"/>
  <c r="Q17" i="4"/>
  <c r="T17" i="4" s="1"/>
  <c r="U17" i="4"/>
  <c r="Y2" i="2"/>
  <c r="Y12" i="2" s="1"/>
  <c r="X4" i="2"/>
  <c r="X11" i="2"/>
  <c r="Y11" i="2" s="1"/>
  <c r="Y3" i="2" l="1"/>
  <c r="X5" i="2"/>
  <c r="V33" i="2"/>
  <c r="C21" i="3"/>
  <c r="D21" i="3"/>
  <c r="E21" i="3" s="1"/>
  <c r="F21" i="3" s="1"/>
  <c r="W15" i="2"/>
  <c r="W28" i="2" s="1"/>
  <c r="W16" i="2"/>
  <c r="W29" i="2" s="1"/>
  <c r="W17" i="2"/>
  <c r="W30" i="2" s="1"/>
  <c r="W18" i="2"/>
  <c r="W31" i="2" s="1"/>
  <c r="W19" i="2"/>
  <c r="Z2" i="2"/>
  <c r="Y4" i="2"/>
  <c r="R16" i="4"/>
  <c r="V16" i="4" s="1"/>
  <c r="Q16" i="4"/>
  <c r="T16" i="4" s="1"/>
  <c r="P15" i="4"/>
  <c r="U16" i="4"/>
  <c r="B47" i="3"/>
  <c r="B24" i="3"/>
  <c r="P35" i="4"/>
  <c r="R34" i="4"/>
  <c r="V34" i="4" s="1"/>
  <c r="Q34" i="4"/>
  <c r="T34" i="4" s="1"/>
  <c r="U34" i="4"/>
  <c r="Y8" i="2"/>
  <c r="Y9" i="2"/>
  <c r="Z9" i="2" s="1"/>
  <c r="Z8" i="2" l="1"/>
  <c r="D22" i="3"/>
  <c r="C22" i="3"/>
  <c r="Q35" i="4"/>
  <c r="T35" i="4" s="1"/>
  <c r="P36" i="4"/>
  <c r="R35" i="4"/>
  <c r="V35" i="4" s="1"/>
  <c r="U35" i="4"/>
  <c r="B25" i="3"/>
  <c r="B48" i="3"/>
  <c r="X15" i="2"/>
  <c r="X28" i="2" s="1"/>
  <c r="X16" i="2"/>
  <c r="X29" i="2" s="1"/>
  <c r="X17" i="2"/>
  <c r="X30" i="2" s="1"/>
  <c r="X18" i="2"/>
  <c r="X31" i="2" s="1"/>
  <c r="X19" i="2"/>
  <c r="AA2" i="2"/>
  <c r="Z4" i="2"/>
  <c r="W33" i="2"/>
  <c r="Z3" i="2"/>
  <c r="Y5" i="2"/>
  <c r="Z11" i="2"/>
  <c r="P14" i="4"/>
  <c r="R15" i="4"/>
  <c r="V15" i="4" s="1"/>
  <c r="Q15" i="4"/>
  <c r="T15" i="4" s="1"/>
  <c r="U15" i="4"/>
  <c r="Z10" i="2"/>
  <c r="Z12" i="2"/>
  <c r="AA12" i="2" s="1"/>
  <c r="AA8" i="2" l="1"/>
  <c r="AA11" i="2"/>
  <c r="AA10" i="2"/>
  <c r="E22" i="3"/>
  <c r="F22" i="3" s="1"/>
  <c r="D23" i="3" s="1"/>
  <c r="X33" i="2"/>
  <c r="P37" i="4"/>
  <c r="R36" i="4"/>
  <c r="V36" i="4" s="1"/>
  <c r="Q36" i="4"/>
  <c r="T36" i="4" s="1"/>
  <c r="U36" i="4"/>
  <c r="R14" i="4"/>
  <c r="V14" i="4" s="1"/>
  <c r="Q14" i="4"/>
  <c r="T14" i="4" s="1"/>
  <c r="P13" i="4"/>
  <c r="U14" i="4"/>
  <c r="AA3" i="2"/>
  <c r="Z5" i="2"/>
  <c r="AB12" i="2"/>
  <c r="B26" i="3"/>
  <c r="B49" i="3"/>
  <c r="Y15" i="2"/>
  <c r="Y28" i="2" s="1"/>
  <c r="Y16" i="2"/>
  <c r="Y29" i="2" s="1"/>
  <c r="Y17" i="2"/>
  <c r="Y30" i="2" s="1"/>
  <c r="Y18" i="2"/>
  <c r="Y31" i="2" s="1"/>
  <c r="Y19" i="2"/>
  <c r="AB2" i="2"/>
  <c r="AA4" i="2"/>
  <c r="AA9" i="2"/>
  <c r="AB9" i="2" s="1"/>
  <c r="C23" i="3" l="1"/>
  <c r="E23" i="3"/>
  <c r="F23" i="3" s="1"/>
  <c r="C24" i="3" s="1"/>
  <c r="D24" i="3"/>
  <c r="Z16" i="2"/>
  <c r="Z29" i="2" s="1"/>
  <c r="Z17" i="2"/>
  <c r="Z30" i="2" s="1"/>
  <c r="Z18" i="2"/>
  <c r="Z31" i="2" s="1"/>
  <c r="Z19" i="2"/>
  <c r="Z15" i="2"/>
  <c r="Z28" i="2" s="1"/>
  <c r="P12" i="4"/>
  <c r="R13" i="4"/>
  <c r="V13" i="4" s="1"/>
  <c r="Q13" i="4"/>
  <c r="T13" i="4" s="1"/>
  <c r="U13" i="4"/>
  <c r="AC9" i="2"/>
  <c r="AC12" i="2"/>
  <c r="B27" i="3"/>
  <c r="B50" i="3"/>
  <c r="R37" i="4"/>
  <c r="V37" i="4" s="1"/>
  <c r="Q37" i="4"/>
  <c r="T37" i="4" s="1"/>
  <c r="P38" i="4"/>
  <c r="U37" i="4"/>
  <c r="AB3" i="2"/>
  <c r="AA5" i="2"/>
  <c r="AC2" i="2"/>
  <c r="AB4" i="2"/>
  <c r="Y33" i="2"/>
  <c r="AB11" i="2"/>
  <c r="AC11" i="2" s="1"/>
  <c r="AB8" i="2"/>
  <c r="AC8" i="2" s="1"/>
  <c r="AB10" i="2"/>
  <c r="AC10" i="2" s="1"/>
  <c r="E24" i="3" l="1"/>
  <c r="F24" i="3" s="1"/>
  <c r="R12" i="4"/>
  <c r="Q12" i="4"/>
  <c r="T12" i="4" s="1"/>
  <c r="P11" i="4"/>
  <c r="U12" i="4"/>
  <c r="V12" i="4"/>
  <c r="Z33" i="2"/>
  <c r="AD2" i="2"/>
  <c r="AD11" i="2" s="1"/>
  <c r="AC4" i="2"/>
  <c r="AC3" i="2"/>
  <c r="AB5" i="2"/>
  <c r="AA17" i="2"/>
  <c r="AA30" i="2" s="1"/>
  <c r="AA18" i="2"/>
  <c r="AA31" i="2" s="1"/>
  <c r="AA19" i="2"/>
  <c r="AA15" i="2"/>
  <c r="AA28" i="2" s="1"/>
  <c r="AA16" i="2"/>
  <c r="AA29" i="2" s="1"/>
  <c r="B51" i="3"/>
  <c r="B28" i="3"/>
  <c r="P39" i="4"/>
  <c r="R38" i="4"/>
  <c r="V38" i="4" s="1"/>
  <c r="Q38" i="4"/>
  <c r="T38" i="4" s="1"/>
  <c r="U38" i="4"/>
  <c r="D25" i="3"/>
  <c r="C25" i="3"/>
  <c r="E25" i="3" l="1"/>
  <c r="F25" i="3" s="1"/>
  <c r="D26" i="3" s="1"/>
  <c r="AD8" i="2"/>
  <c r="AA33" i="2"/>
  <c r="C26" i="3"/>
  <c r="AB18" i="2"/>
  <c r="AB31" i="2" s="1"/>
  <c r="AB19" i="2"/>
  <c r="AB15" i="2"/>
  <c r="AB28" i="2" s="1"/>
  <c r="AB16" i="2"/>
  <c r="AB29" i="2" s="1"/>
  <c r="AB17" i="2"/>
  <c r="AB30" i="2" s="1"/>
  <c r="AD9" i="2"/>
  <c r="AE9" i="2" s="1"/>
  <c r="AD3" i="2"/>
  <c r="AC5" i="2"/>
  <c r="P40" i="4"/>
  <c r="R39" i="4"/>
  <c r="V39" i="4" s="1"/>
  <c r="Q39" i="4"/>
  <c r="T39" i="4" s="1"/>
  <c r="U39" i="4"/>
  <c r="P10" i="4"/>
  <c r="U11" i="4"/>
  <c r="R11" i="4"/>
  <c r="V11" i="4" s="1"/>
  <c r="Q11" i="4"/>
  <c r="T11" i="4" s="1"/>
  <c r="B52" i="3"/>
  <c r="B29" i="3"/>
  <c r="AD4" i="2"/>
  <c r="AE2" i="2"/>
  <c r="AD12" i="2"/>
  <c r="AE12" i="2" s="1"/>
  <c r="AD10" i="2"/>
  <c r="AE10" i="2" s="1"/>
  <c r="R40" i="4" l="1"/>
  <c r="V40" i="4" s="1"/>
  <c r="Q40" i="4"/>
  <c r="T40" i="4" s="1"/>
  <c r="P41" i="4"/>
  <c r="U40" i="4"/>
  <c r="AC19" i="2"/>
  <c r="AC15" i="2"/>
  <c r="AC28" i="2" s="1"/>
  <c r="AC16" i="2"/>
  <c r="AC29" i="2" s="1"/>
  <c r="AC17" i="2"/>
  <c r="AC30" i="2" s="1"/>
  <c r="AC18" i="2"/>
  <c r="AC31" i="2" s="1"/>
  <c r="AE4" i="2"/>
  <c r="AF2" i="2"/>
  <c r="AF10" i="2" s="1"/>
  <c r="AF9" i="2"/>
  <c r="B30" i="3"/>
  <c r="B53" i="3"/>
  <c r="AB33" i="2"/>
  <c r="AE8" i="2"/>
  <c r="AE3" i="2"/>
  <c r="AD5" i="2"/>
  <c r="R10" i="4"/>
  <c r="V10" i="4" s="1"/>
  <c r="Q10" i="4"/>
  <c r="T10" i="4" s="1"/>
  <c r="P9" i="4"/>
  <c r="U10" i="4"/>
  <c r="E26" i="3"/>
  <c r="F26" i="3" s="1"/>
  <c r="AE11" i="2"/>
  <c r="AF11" i="2" l="1"/>
  <c r="B54" i="3"/>
  <c r="B31" i="3"/>
  <c r="D27" i="3"/>
  <c r="C27" i="3"/>
  <c r="AF4" i="2"/>
  <c r="AG2" i="2"/>
  <c r="AG9" i="2" s="1"/>
  <c r="AC33" i="2"/>
  <c r="AD15" i="2"/>
  <c r="AD28" i="2" s="1"/>
  <c r="AD16" i="2"/>
  <c r="AD29" i="2" s="1"/>
  <c r="AD17" i="2"/>
  <c r="AD30" i="2" s="1"/>
  <c r="AD18" i="2"/>
  <c r="AD31" i="2" s="1"/>
  <c r="AD19" i="2"/>
  <c r="AE5" i="2"/>
  <c r="AF3" i="2"/>
  <c r="P8" i="4"/>
  <c r="U9" i="4"/>
  <c r="R9" i="4"/>
  <c r="V9" i="4" s="1"/>
  <c r="Q9" i="4"/>
  <c r="T9" i="4" s="1"/>
  <c r="AF8" i="2"/>
  <c r="AG8" i="2" s="1"/>
  <c r="P42" i="4"/>
  <c r="R41" i="4"/>
  <c r="V41" i="4" s="1"/>
  <c r="Q41" i="4"/>
  <c r="T41" i="4" s="1"/>
  <c r="U41" i="4"/>
  <c r="AF12" i="2"/>
  <c r="AG11" i="2" l="1"/>
  <c r="AG12" i="2"/>
  <c r="E27" i="3"/>
  <c r="F27" i="3" s="1"/>
  <c r="AE15" i="2"/>
  <c r="AE28" i="2" s="1"/>
  <c r="AE16" i="2"/>
  <c r="AE29" i="2" s="1"/>
  <c r="AE17" i="2"/>
  <c r="AE30" i="2" s="1"/>
  <c r="AE18" i="2"/>
  <c r="AE31" i="2" s="1"/>
  <c r="AE19" i="2"/>
  <c r="AD33" i="2"/>
  <c r="AF5" i="2"/>
  <c r="AG3" i="2"/>
  <c r="D28" i="3"/>
  <c r="C28" i="3"/>
  <c r="B55" i="3"/>
  <c r="B32" i="3"/>
  <c r="B56" i="3" s="1"/>
  <c r="AH2" i="2"/>
  <c r="AH8" i="2" s="1"/>
  <c r="AG4" i="2"/>
  <c r="P43" i="4"/>
  <c r="R42" i="4"/>
  <c r="V42" i="4" s="1"/>
  <c r="Q42" i="4"/>
  <c r="T42" i="4" s="1"/>
  <c r="U42" i="4"/>
  <c r="Q8" i="4"/>
  <c r="T8" i="4" s="1"/>
  <c r="P7" i="4"/>
  <c r="U8" i="4"/>
  <c r="R8" i="4"/>
  <c r="V8" i="4" s="1"/>
  <c r="AG10" i="2"/>
  <c r="E28" i="3" l="1"/>
  <c r="F28" i="3" s="1"/>
  <c r="C29" i="3" s="1"/>
  <c r="AH10" i="2"/>
  <c r="AH12" i="2"/>
  <c r="AH11" i="2"/>
  <c r="D29" i="3"/>
  <c r="AG5" i="2"/>
  <c r="AH3" i="2"/>
  <c r="AF15" i="2"/>
  <c r="AF28" i="2" s="1"/>
  <c r="AF16" i="2"/>
  <c r="AF29" i="2" s="1"/>
  <c r="AF17" i="2"/>
  <c r="AF30" i="2" s="1"/>
  <c r="AF18" i="2"/>
  <c r="AF31" i="2" s="1"/>
  <c r="AF19" i="2"/>
  <c r="P6" i="4"/>
  <c r="U7" i="4"/>
  <c r="R7" i="4"/>
  <c r="V7" i="4" s="1"/>
  <c r="Q7" i="4"/>
  <c r="T7" i="4" s="1"/>
  <c r="AE33" i="2"/>
  <c r="Q43" i="4"/>
  <c r="T43" i="4" s="1"/>
  <c r="P44" i="4"/>
  <c r="R43" i="4"/>
  <c r="V43" i="4" s="1"/>
  <c r="U43" i="4"/>
  <c r="AI2" i="2"/>
  <c r="AH4" i="2"/>
  <c r="AH9" i="2"/>
  <c r="AI9" i="2" s="1"/>
  <c r="Q6" i="4" l="1"/>
  <c r="T6" i="4" s="1"/>
  <c r="P5" i="4"/>
  <c r="U6" i="4"/>
  <c r="R6" i="4"/>
  <c r="V6" i="4" s="1"/>
  <c r="AG15" i="2"/>
  <c r="AG28" i="2" s="1"/>
  <c r="AG16" i="2"/>
  <c r="AG29" i="2" s="1"/>
  <c r="AG17" i="2"/>
  <c r="AG30" i="2" s="1"/>
  <c r="AG18" i="2"/>
  <c r="AG31" i="2" s="1"/>
  <c r="AG19" i="2"/>
  <c r="AJ2" i="2"/>
  <c r="AI4" i="2"/>
  <c r="AI11" i="2"/>
  <c r="AJ11" i="2" s="1"/>
  <c r="AI12" i="2"/>
  <c r="AJ12" i="2" s="1"/>
  <c r="AI10" i="2"/>
  <c r="AJ10" i="2" s="1"/>
  <c r="AH5" i="2"/>
  <c r="AI3" i="2"/>
  <c r="P45" i="4"/>
  <c r="R44" i="4"/>
  <c r="Q44" i="4"/>
  <c r="T44" i="4" s="1"/>
  <c r="U44" i="4"/>
  <c r="V44" i="4"/>
  <c r="AI8" i="2"/>
  <c r="AJ8" i="2" s="1"/>
  <c r="AF33" i="2"/>
  <c r="E29" i="3"/>
  <c r="F29" i="3" s="1"/>
  <c r="D30" i="3" l="1"/>
  <c r="C30" i="3"/>
  <c r="AK2" i="2"/>
  <c r="AK12" i="2" s="1"/>
  <c r="AJ4" i="2"/>
  <c r="AG33" i="2"/>
  <c r="R45" i="4"/>
  <c r="Q45" i="4"/>
  <c r="T45" i="4" s="1"/>
  <c r="U45" i="4"/>
  <c r="V45" i="4"/>
  <c r="U5" i="4"/>
  <c r="R5" i="4"/>
  <c r="V5" i="4" s="1"/>
  <c r="Q5" i="4"/>
  <c r="T5" i="4" s="1"/>
  <c r="AJ3" i="2"/>
  <c r="AI5" i="2"/>
  <c r="AH15" i="2"/>
  <c r="AH28" i="2" s="1"/>
  <c r="AH16" i="2"/>
  <c r="AH29" i="2" s="1"/>
  <c r="AH17" i="2"/>
  <c r="AH30" i="2" s="1"/>
  <c r="AH18" i="2"/>
  <c r="AH31" i="2" s="1"/>
  <c r="AH19" i="2"/>
  <c r="AJ9" i="2"/>
  <c r="AK9" i="2" l="1"/>
  <c r="AL2" i="2"/>
  <c r="AL12" i="2" s="1"/>
  <c r="AK4" i="2"/>
  <c r="AH33" i="2"/>
  <c r="AK11" i="2"/>
  <c r="AL11" i="2" s="1"/>
  <c r="AK8" i="2"/>
  <c r="AL8" i="2" s="1"/>
  <c r="AI15" i="2"/>
  <c r="AI28" i="2" s="1"/>
  <c r="AI16" i="2"/>
  <c r="AI29" i="2" s="1"/>
  <c r="AI17" i="2"/>
  <c r="AI30" i="2" s="1"/>
  <c r="AI18" i="2"/>
  <c r="AI31" i="2" s="1"/>
  <c r="AI19" i="2"/>
  <c r="E30" i="3"/>
  <c r="F30" i="3" s="1"/>
  <c r="AK3" i="2"/>
  <c r="AJ5" i="2"/>
  <c r="AK10" i="2"/>
  <c r="AL10" i="2" s="1"/>
  <c r="AJ15" i="2" l="1"/>
  <c r="AJ28" i="2" s="1"/>
  <c r="AJ16" i="2"/>
  <c r="AJ29" i="2" s="1"/>
  <c r="AJ17" i="2"/>
  <c r="AJ30" i="2" s="1"/>
  <c r="AJ18" i="2"/>
  <c r="AJ31" i="2" s="1"/>
  <c r="AJ19" i="2"/>
  <c r="AI33" i="2"/>
  <c r="D31" i="3"/>
  <c r="E31" i="3" s="1"/>
  <c r="F31" i="3" s="1"/>
  <c r="C31" i="3"/>
  <c r="AL3" i="2"/>
  <c r="AK5" i="2"/>
  <c r="AM2" i="2"/>
  <c r="AM10" i="2" s="1"/>
  <c r="AL4" i="2"/>
  <c r="AL9" i="2"/>
  <c r="AK15" i="2" l="1"/>
  <c r="AK28" i="2" s="1"/>
  <c r="AK16" i="2"/>
  <c r="AK29" i="2" s="1"/>
  <c r="AK17" i="2"/>
  <c r="AK30" i="2" s="1"/>
  <c r="AK18" i="2"/>
  <c r="AK31" i="2" s="1"/>
  <c r="AK19" i="2"/>
  <c r="D32" i="3"/>
  <c r="E32" i="3" s="1"/>
  <c r="F32" i="3" s="1"/>
  <c r="C32" i="3"/>
  <c r="AM8" i="2"/>
  <c r="AN8" i="2" s="1"/>
  <c r="AM3" i="2"/>
  <c r="AL5" i="2"/>
  <c r="AJ33" i="2"/>
  <c r="AN2" i="2"/>
  <c r="AM4" i="2"/>
  <c r="AM11" i="2"/>
  <c r="AN11" i="2" s="1"/>
  <c r="AM9" i="2"/>
  <c r="AN9" i="2" s="1"/>
  <c r="AM12" i="2"/>
  <c r="AN3" i="2" l="1"/>
  <c r="AM5" i="2"/>
  <c r="AO2" i="2"/>
  <c r="AN4" i="2"/>
  <c r="AO8" i="2"/>
  <c r="AO9" i="2"/>
  <c r="AL15" i="2"/>
  <c r="AL28" i="2" s="1"/>
  <c r="AL16" i="2"/>
  <c r="AL29" i="2" s="1"/>
  <c r="AL17" i="2"/>
  <c r="AL30" i="2" s="1"/>
  <c r="AL18" i="2"/>
  <c r="AL31" i="2" s="1"/>
  <c r="AL19" i="2"/>
  <c r="AK33" i="2"/>
  <c r="AN12" i="2"/>
  <c r="AO12" i="2" s="1"/>
  <c r="AN10" i="2"/>
  <c r="AO10" i="2" s="1"/>
  <c r="AL33" i="2" l="1"/>
  <c r="AP2" i="2"/>
  <c r="AO4" i="2"/>
  <c r="AM15" i="2"/>
  <c r="AM28" i="2" s="1"/>
  <c r="AM16" i="2"/>
  <c r="AM29" i="2" s="1"/>
  <c r="AM17" i="2"/>
  <c r="AM30" i="2" s="1"/>
  <c r="AM18" i="2"/>
  <c r="AM31" i="2" s="1"/>
  <c r="AM19" i="2"/>
  <c r="AP8" i="2"/>
  <c r="AO3" i="2"/>
  <c r="AN5" i="2"/>
  <c r="AO11" i="2"/>
  <c r="AP11" i="2" s="1"/>
  <c r="AN15" i="2" l="1"/>
  <c r="AN28" i="2" s="1"/>
  <c r="AN16" i="2"/>
  <c r="AN29" i="2" s="1"/>
  <c r="AN17" i="2"/>
  <c r="AN30" i="2" s="1"/>
  <c r="AN18" i="2"/>
  <c r="AN31" i="2" s="1"/>
  <c r="AN19" i="2"/>
  <c r="AQ2" i="2"/>
  <c r="AQ11" i="2" s="1"/>
  <c r="AP4" i="2"/>
  <c r="AP10" i="2"/>
  <c r="AQ10" i="2" s="1"/>
  <c r="AP9" i="2"/>
  <c r="AQ9" i="2" s="1"/>
  <c r="AP3" i="2"/>
  <c r="AO5" i="2"/>
  <c r="AM33" i="2"/>
  <c r="AP12" i="2"/>
  <c r="AQ12" i="2" s="1"/>
  <c r="AO15" i="2" l="1"/>
  <c r="AO28" i="2" s="1"/>
  <c r="AO16" i="2"/>
  <c r="AO29" i="2" s="1"/>
  <c r="AO17" i="2"/>
  <c r="AO30" i="2" s="1"/>
  <c r="AO18" i="2"/>
  <c r="AO31" i="2" s="1"/>
  <c r="AO19" i="2"/>
  <c r="AQ3" i="2"/>
  <c r="AP5" i="2"/>
  <c r="AR2" i="2"/>
  <c r="AR9" i="2" s="1"/>
  <c r="AQ4" i="2"/>
  <c r="AQ8" i="2"/>
  <c r="AR8" i="2" s="1"/>
  <c r="AN33" i="2"/>
  <c r="AR10" i="2" l="1"/>
  <c r="AP16" i="2"/>
  <c r="AP29" i="2" s="1"/>
  <c r="AP17" i="2"/>
  <c r="AP30" i="2" s="1"/>
  <c r="AP18" i="2"/>
  <c r="AP31" i="2" s="1"/>
  <c r="AP19" i="2"/>
  <c r="AP15" i="2"/>
  <c r="AP28" i="2" s="1"/>
  <c r="AR3" i="2"/>
  <c r="AQ5" i="2"/>
  <c r="AS2" i="2"/>
  <c r="AR4" i="2"/>
  <c r="AR12" i="2"/>
  <c r="AS12" i="2" s="1"/>
  <c r="AO33" i="2"/>
  <c r="AR11" i="2"/>
  <c r="AS11" i="2" s="1"/>
  <c r="AP33" i="2" l="1"/>
  <c r="AS10" i="2"/>
  <c r="AT10" i="2" s="1"/>
  <c r="AS3" i="2"/>
  <c r="AR5" i="2"/>
  <c r="AQ17" i="2"/>
  <c r="AQ30" i="2" s="1"/>
  <c r="AQ18" i="2"/>
  <c r="AQ31" i="2" s="1"/>
  <c r="AQ19" i="2"/>
  <c r="AQ15" i="2"/>
  <c r="AQ28" i="2" s="1"/>
  <c r="AQ16" i="2"/>
  <c r="AQ29" i="2" s="1"/>
  <c r="AT2" i="2"/>
  <c r="AS4" i="2"/>
  <c r="AS8" i="2"/>
  <c r="AT8" i="2" s="1"/>
  <c r="AS9" i="2"/>
  <c r="AT9" i="2" s="1"/>
  <c r="AQ33" i="2" l="1"/>
  <c r="AT4" i="2"/>
  <c r="AU2" i="2"/>
  <c r="AR18" i="2"/>
  <c r="AR31" i="2" s="1"/>
  <c r="AR19" i="2"/>
  <c r="AR15" i="2"/>
  <c r="AR28" i="2" s="1"/>
  <c r="AR16" i="2"/>
  <c r="AR29" i="2" s="1"/>
  <c r="AR17" i="2"/>
  <c r="AR30" i="2" s="1"/>
  <c r="AT12" i="2"/>
  <c r="AU12" i="2" s="1"/>
  <c r="AU8" i="2"/>
  <c r="AT3" i="2"/>
  <c r="AS5" i="2"/>
  <c r="AT11" i="2"/>
  <c r="AU11" i="2" s="1"/>
  <c r="AR33" i="2" l="1"/>
  <c r="AS19" i="2"/>
  <c r="AS15" i="2"/>
  <c r="AS28" i="2" s="1"/>
  <c r="AS16" i="2"/>
  <c r="AS29" i="2" s="1"/>
  <c r="AS17" i="2"/>
  <c r="AS30" i="2" s="1"/>
  <c r="AS18" i="2"/>
  <c r="AS31" i="2" s="1"/>
  <c r="AU4" i="2"/>
  <c r="AV2" i="2"/>
  <c r="AV8" i="2" s="1"/>
  <c r="AU3" i="2"/>
  <c r="AT5" i="2"/>
  <c r="AU10" i="2"/>
  <c r="AV10" i="2" s="1"/>
  <c r="AU9" i="2"/>
  <c r="AV9" i="2" s="1"/>
  <c r="AT15" i="2" l="1"/>
  <c r="AT28" i="2" s="1"/>
  <c r="AT16" i="2"/>
  <c r="AT29" i="2" s="1"/>
  <c r="AT17" i="2"/>
  <c r="AT30" i="2" s="1"/>
  <c r="AT18" i="2"/>
  <c r="AT31" i="2" s="1"/>
  <c r="AT19" i="2"/>
  <c r="AV4" i="2"/>
  <c r="AW2" i="2"/>
  <c r="AW10" i="2" s="1"/>
  <c r="AU5" i="2"/>
  <c r="AV3" i="2"/>
  <c r="AS33" i="2"/>
  <c r="AV11" i="2"/>
  <c r="AW11" i="2" s="1"/>
  <c r="AV12" i="2"/>
  <c r="AW12" i="2" s="1"/>
  <c r="AV5" i="2" l="1"/>
  <c r="AW3" i="2"/>
  <c r="AU15" i="2"/>
  <c r="AU28" i="2" s="1"/>
  <c r="AU16" i="2"/>
  <c r="AU29" i="2" s="1"/>
  <c r="AU17" i="2"/>
  <c r="AU30" i="2" s="1"/>
  <c r="AU18" i="2"/>
  <c r="AU31" i="2" s="1"/>
  <c r="AU19" i="2"/>
  <c r="AX2" i="2"/>
  <c r="AX12" i="2" s="1"/>
  <c r="AW4" i="2"/>
  <c r="AX11" i="2"/>
  <c r="AW9" i="2"/>
  <c r="AX9" i="2" s="1"/>
  <c r="AT33" i="2"/>
  <c r="AW8" i="2"/>
  <c r="AX8" i="2" s="1"/>
  <c r="AY2" i="2" l="1"/>
  <c r="AY8" i="2" s="1"/>
  <c r="AX4" i="2"/>
  <c r="AU33" i="2"/>
  <c r="AV15" i="2"/>
  <c r="AV28" i="2" s="1"/>
  <c r="AV16" i="2"/>
  <c r="AV29" i="2" s="1"/>
  <c r="AV17" i="2"/>
  <c r="AV30" i="2" s="1"/>
  <c r="AV18" i="2"/>
  <c r="AV31" i="2" s="1"/>
  <c r="AV19" i="2"/>
  <c r="AW5" i="2"/>
  <c r="AX3" i="2"/>
  <c r="AX10" i="2"/>
  <c r="AY10" i="2" s="1"/>
  <c r="AX5" i="2" l="1"/>
  <c r="AY3" i="2"/>
  <c r="AW15" i="2"/>
  <c r="AW28" i="2" s="1"/>
  <c r="AW16" i="2"/>
  <c r="AW29" i="2" s="1"/>
  <c r="AW17" i="2"/>
  <c r="AW30" i="2" s="1"/>
  <c r="AW18" i="2"/>
  <c r="AW31" i="2" s="1"/>
  <c r="AW19" i="2"/>
  <c r="AV33" i="2"/>
  <c r="AZ2" i="2"/>
  <c r="AY4" i="2"/>
  <c r="AY9" i="2"/>
  <c r="AZ9" i="2" s="1"/>
  <c r="AY11" i="2"/>
  <c r="AZ11" i="2" s="1"/>
  <c r="AY12" i="2"/>
  <c r="AZ12" i="2" s="1"/>
  <c r="BA2" i="2" l="1"/>
  <c r="BA9" i="2" s="1"/>
  <c r="AZ4" i="2"/>
  <c r="AW33" i="2"/>
  <c r="AZ10" i="2"/>
  <c r="BA10" i="2" s="1"/>
  <c r="AX15" i="2"/>
  <c r="AX28" i="2" s="1"/>
  <c r="AX16" i="2"/>
  <c r="AX29" i="2" s="1"/>
  <c r="AX17" i="2"/>
  <c r="AX30" i="2" s="1"/>
  <c r="AX18" i="2"/>
  <c r="AX31" i="2" s="1"/>
  <c r="AX19" i="2"/>
  <c r="AZ3" i="2"/>
  <c r="AY5" i="2"/>
  <c r="AZ8" i="2"/>
  <c r="BA8" i="2" s="1"/>
  <c r="BA3" i="2" l="1"/>
  <c r="AZ5" i="2"/>
  <c r="AX33" i="2"/>
  <c r="AY15" i="2"/>
  <c r="AY28" i="2" s="1"/>
  <c r="AY16" i="2"/>
  <c r="AY29" i="2" s="1"/>
  <c r="AY17" i="2"/>
  <c r="AY30" i="2" s="1"/>
  <c r="AY18" i="2"/>
  <c r="AY31" i="2" s="1"/>
  <c r="AY19" i="2"/>
  <c r="BB2" i="2"/>
  <c r="BA4" i="2"/>
  <c r="BA12" i="2"/>
  <c r="BB12" i="2" s="1"/>
  <c r="BA11" i="2"/>
  <c r="BB11" i="2" s="1"/>
  <c r="AY33" i="2" l="1"/>
  <c r="BC2" i="2"/>
  <c r="BB4" i="2"/>
  <c r="AZ15" i="2"/>
  <c r="AZ28" i="2" s="1"/>
  <c r="AZ16" i="2"/>
  <c r="AZ29" i="2" s="1"/>
  <c r="AZ17" i="2"/>
  <c r="AZ30" i="2" s="1"/>
  <c r="AZ18" i="2"/>
  <c r="AZ31" i="2" s="1"/>
  <c r="AZ19" i="2"/>
  <c r="BC11" i="2"/>
  <c r="BB3" i="2"/>
  <c r="BA5" i="2"/>
  <c r="BB10" i="2"/>
  <c r="BC10" i="2" s="1"/>
  <c r="BB8" i="2"/>
  <c r="BC8" i="2" s="1"/>
  <c r="BB9" i="2"/>
  <c r="BC9" i="2" s="1"/>
  <c r="BA15" i="2" l="1"/>
  <c r="BA28" i="2" s="1"/>
  <c r="BA16" i="2"/>
  <c r="BA29" i="2" s="1"/>
  <c r="BA17" i="2"/>
  <c r="BA30" i="2" s="1"/>
  <c r="BA18" i="2"/>
  <c r="BA31" i="2" s="1"/>
  <c r="BA19" i="2"/>
  <c r="BC3" i="2"/>
  <c r="BB5" i="2"/>
  <c r="AZ33" i="2"/>
  <c r="BD2" i="2"/>
  <c r="BD9" i="2" s="1"/>
  <c r="BC4" i="2"/>
  <c r="BD8" i="2"/>
  <c r="BC12" i="2"/>
  <c r="BD12" i="2" s="1"/>
  <c r="BE2" i="2" l="1"/>
  <c r="BE8" i="2" s="1"/>
  <c r="BD4" i="2"/>
  <c r="BD11" i="2"/>
  <c r="BE11" i="2" s="1"/>
  <c r="BB15" i="2"/>
  <c r="BB28" i="2" s="1"/>
  <c r="BB16" i="2"/>
  <c r="BB29" i="2" s="1"/>
  <c r="BB17" i="2"/>
  <c r="BB30" i="2" s="1"/>
  <c r="BB18" i="2"/>
  <c r="BB31" i="2" s="1"/>
  <c r="BB19" i="2"/>
  <c r="BA33" i="2"/>
  <c r="BD3" i="2"/>
  <c r="BC5" i="2"/>
  <c r="BD10" i="2"/>
  <c r="BE10" i="2" s="1"/>
  <c r="BE12" i="2" l="1"/>
  <c r="BE3" i="2"/>
  <c r="BD5" i="2"/>
  <c r="BB33" i="2"/>
  <c r="BC15" i="2"/>
  <c r="BC28" i="2" s="1"/>
  <c r="BC16" i="2"/>
  <c r="BC29" i="2" s="1"/>
  <c r="BC17" i="2"/>
  <c r="BC30" i="2" s="1"/>
  <c r="BC18" i="2"/>
  <c r="BC31" i="2" s="1"/>
  <c r="BC19" i="2"/>
  <c r="BF2" i="2"/>
  <c r="BE4" i="2"/>
  <c r="BE9" i="2"/>
  <c r="BF9" i="2" s="1"/>
  <c r="BF12" i="2" l="1"/>
  <c r="BG2" i="2"/>
  <c r="BF4" i="2"/>
  <c r="BD15" i="2"/>
  <c r="BD28" i="2" s="1"/>
  <c r="BD16" i="2"/>
  <c r="BD29" i="2" s="1"/>
  <c r="BD17" i="2"/>
  <c r="BD30" i="2" s="1"/>
  <c r="BD18" i="2"/>
  <c r="BD31" i="2" s="1"/>
  <c r="BD19" i="2"/>
  <c r="BC33" i="2"/>
  <c r="BF3" i="2"/>
  <c r="BE5" i="2"/>
  <c r="BG12" i="2"/>
  <c r="BF11" i="2"/>
  <c r="BG11" i="2" s="1"/>
  <c r="BF10" i="2"/>
  <c r="BG10" i="2" s="1"/>
  <c r="BF8" i="2"/>
  <c r="BG8" i="2" s="1"/>
  <c r="BE15" i="2" l="1"/>
  <c r="BE28" i="2" s="1"/>
  <c r="BE16" i="2"/>
  <c r="BE29" i="2" s="1"/>
  <c r="BE17" i="2"/>
  <c r="BE30" i="2" s="1"/>
  <c r="BE18" i="2"/>
  <c r="BE31" i="2" s="1"/>
  <c r="BE19" i="2"/>
  <c r="BG3" i="2"/>
  <c r="BF5" i="2"/>
  <c r="BD33" i="2"/>
  <c r="BH2" i="2"/>
  <c r="BH4" i="2" s="1"/>
  <c r="BG4" i="2"/>
  <c r="BH11" i="2"/>
  <c r="BG9" i="2"/>
  <c r="BH9" i="2" s="1"/>
  <c r="BF16" i="2" l="1"/>
  <c r="BF29" i="2" s="1"/>
  <c r="BF17" i="2"/>
  <c r="BF30" i="2" s="1"/>
  <c r="BF18" i="2"/>
  <c r="BF31" i="2" s="1"/>
  <c r="BF19" i="2"/>
  <c r="BF15" i="2"/>
  <c r="BF28" i="2" s="1"/>
  <c r="BH8" i="2"/>
  <c r="BH3" i="2"/>
  <c r="BH5" i="2" s="1"/>
  <c r="BG5" i="2"/>
  <c r="BH12" i="2"/>
  <c r="BH10" i="2"/>
  <c r="BE33" i="2"/>
  <c r="BH18" i="2" l="1"/>
  <c r="BH19" i="2"/>
  <c r="BH15" i="2"/>
  <c r="BH16" i="2"/>
  <c r="BH17" i="2"/>
  <c r="BG17" i="2"/>
  <c r="BG30" i="2" s="1"/>
  <c r="BG18" i="2"/>
  <c r="BG31" i="2" s="1"/>
  <c r="BG19" i="2"/>
  <c r="BG15" i="2"/>
  <c r="BG28" i="2" s="1"/>
  <c r="BG16" i="2"/>
  <c r="BG29" i="2" s="1"/>
  <c r="BF33" i="2"/>
  <c r="BG33" i="2" l="1"/>
  <c r="BH30" i="2"/>
  <c r="BH29" i="2"/>
  <c r="BH28" i="2"/>
  <c r="BH31" i="2"/>
  <c r="BH33" i="2" l="1"/>
</calcChain>
</file>

<file path=xl/sharedStrings.xml><?xml version="1.0" encoding="utf-8"?>
<sst xmlns="http://schemas.openxmlformats.org/spreadsheetml/2006/main" count="231" uniqueCount="170">
  <si>
    <t>Portfolio Optimizer</t>
  </si>
  <si>
    <t>Use this sheet to maximize the Sharpe Ratio of a theoretical portfolio</t>
  </si>
  <si>
    <t>Periods/Year</t>
  </si>
  <si>
    <t>Risk Free Rate</t>
  </si>
  <si>
    <t>Covariance Matrix</t>
  </si>
  <si>
    <t>Period</t>
  </si>
  <si>
    <t>[ETF 1]</t>
  </si>
  <si>
    <t>[ETF 2]</t>
  </si>
  <si>
    <t>[ETF 3]</t>
  </si>
  <si>
    <t>[ETF 4]</t>
  </si>
  <si>
    <t>[ETF 5]</t>
  </si>
  <si>
    <t>[ETF 6]</t>
  </si>
  <si>
    <t>[ETF 7]</t>
  </si>
  <si>
    <t>[ETF 8]</t>
  </si>
  <si>
    <t>[ETF 9]</t>
  </si>
  <si>
    <t>[ETF 10]</t>
  </si>
  <si>
    <t>Fund Name</t>
  </si>
  <si>
    <t>Average Return per Period</t>
  </si>
  <si>
    <t>Annual Return</t>
  </si>
  <si>
    <t>Variance per Period</t>
  </si>
  <si>
    <t>Annual Variance of Returns</t>
  </si>
  <si>
    <t>Srandard Deviation of Returns</t>
  </si>
  <si>
    <t>Annual</t>
  </si>
  <si>
    <t>Fund</t>
  </si>
  <si>
    <t xml:space="preserve"> Return</t>
  </si>
  <si>
    <t>Weights</t>
  </si>
  <si>
    <t>Max Weight</t>
  </si>
  <si>
    <t>Total Weights</t>
  </si>
  <si>
    <t>Return</t>
  </si>
  <si>
    <t>Variance</t>
  </si>
  <si>
    <t>Standard Deviation</t>
  </si>
  <si>
    <t>Sharpe Ratio</t>
  </si>
  <si>
    <t>Monte Carlo</t>
  </si>
  <si>
    <t>Use this sheet to calculate approximate net worth using varied inputs over time</t>
  </si>
  <si>
    <t>Return Inputs</t>
  </si>
  <si>
    <t>Allocation</t>
  </si>
  <si>
    <t>current</t>
  </si>
  <si>
    <t>for calc</t>
  </si>
  <si>
    <t>Year</t>
  </si>
  <si>
    <t>Investments</t>
  </si>
  <si>
    <t>Rate of Return</t>
  </si>
  <si>
    <t>Current Investments</t>
  </si>
  <si>
    <t>Current Allocation</t>
  </si>
  <si>
    <t>Starting Allocation %</t>
  </si>
  <si>
    <t>Salary</t>
  </si>
  <si>
    <t>Income Less Major Expenses</t>
  </si>
  <si>
    <t>Equity</t>
  </si>
  <si>
    <t>Yrly Inv Percentage</t>
  </si>
  <si>
    <t xml:space="preserve">    One Offs</t>
  </si>
  <si>
    <t>Yes</t>
  </si>
  <si>
    <t>Fixed Income</t>
  </si>
  <si>
    <t>One-off Inv Percentage</t>
  </si>
  <si>
    <t>Investment Basis</t>
  </si>
  <si>
    <t>No</t>
  </si>
  <si>
    <t>Alts</t>
  </si>
  <si>
    <t>Reinvest Dividends?</t>
  </si>
  <si>
    <t>Real Estate</t>
  </si>
  <si>
    <t>Div Yield</t>
  </si>
  <si>
    <t>Inv. Allocation</t>
  </si>
  <si>
    <t>Floating</t>
  </si>
  <si>
    <t>Fixed</t>
  </si>
  <si>
    <t>Savings</t>
  </si>
  <si>
    <t>Savings Acct</t>
  </si>
  <si>
    <t>Life Changes</t>
  </si>
  <si>
    <t>Description</t>
  </si>
  <si>
    <t>Income/Expense</t>
  </si>
  <si>
    <t>Recurring?</t>
  </si>
  <si>
    <t>Inv. Value</t>
  </si>
  <si>
    <t>Promotion</t>
  </si>
  <si>
    <t>Kids</t>
  </si>
  <si>
    <t>Inheritance</t>
  </si>
  <si>
    <t>10k Trust Draw</t>
  </si>
  <si>
    <t>Yearly Returns</t>
  </si>
  <si>
    <t>Allocation Alterations</t>
  </si>
  <si>
    <t>Add</t>
  </si>
  <si>
    <t>Loss</t>
  </si>
  <si>
    <t>Reallocate X%</t>
  </si>
  <si>
    <t>Reallocate To…</t>
  </si>
  <si>
    <t>Reallocate From…</t>
  </si>
  <si>
    <t>Yearly Total</t>
  </si>
  <si>
    <t>Total</t>
  </si>
  <si>
    <t>10 Scenarios</t>
  </si>
  <si>
    <t xml:space="preserve">     Scenario 1</t>
  </si>
  <si>
    <t xml:space="preserve">     Scenario 2</t>
  </si>
  <si>
    <t xml:space="preserve">     Scenario 3</t>
  </si>
  <si>
    <t xml:space="preserve">     Scenario 4</t>
  </si>
  <si>
    <t xml:space="preserve">     Scenario 5</t>
  </si>
  <si>
    <t xml:space="preserve">     Scenario 6</t>
  </si>
  <si>
    <t xml:space="preserve">     Scenario 7</t>
  </si>
  <si>
    <t xml:space="preserve">     Scenario 8</t>
  </si>
  <si>
    <t xml:space="preserve">     Scenario 9</t>
  </si>
  <si>
    <t xml:space="preserve">     Scenario 10</t>
  </si>
  <si>
    <t>Average Wealth</t>
  </si>
  <si>
    <t>Geometric Brownian Motion</t>
  </si>
  <si>
    <t>Use this sheet to calculate a theoretical value of a stock using a GBM simulation.</t>
  </si>
  <si>
    <t>Parameters</t>
  </si>
  <si>
    <t>Initial Stock Price S0</t>
  </si>
  <si>
    <t>Volatility  σ</t>
  </si>
  <si>
    <t>Drift μ</t>
  </si>
  <si>
    <t>Time Step ∆t</t>
  </si>
  <si>
    <t>Average Expected Price</t>
  </si>
  <si>
    <t>Time</t>
  </si>
  <si>
    <t>Drift</t>
  </si>
  <si>
    <t>Uncertainty</t>
  </si>
  <si>
    <t>Change</t>
  </si>
  <si>
    <t>Stock Price</t>
  </si>
  <si>
    <t>Stock Price Simulator</t>
  </si>
  <si>
    <t>Case 1</t>
  </si>
  <si>
    <t>Case 2</t>
  </si>
  <si>
    <t>Case 3</t>
  </si>
  <si>
    <t>Case 4</t>
  </si>
  <si>
    <t>Case 5</t>
  </si>
  <si>
    <t>Case 6</t>
  </si>
  <si>
    <t>Case 7</t>
  </si>
  <si>
    <t>Case 8</t>
  </si>
  <si>
    <t>Case 9</t>
  </si>
  <si>
    <t>Case 10</t>
  </si>
  <si>
    <t>Average</t>
  </si>
  <si>
    <t>Black-Scholes Model</t>
  </si>
  <si>
    <t>Use this model to calculate a theoretical value of an option</t>
  </si>
  <si>
    <t>Gamma Hedge</t>
  </si>
  <si>
    <t>Sophisticated options strategy used to reduce an option position's exposure to large movements in the underlying security</t>
  </si>
  <si>
    <t>INPUTS</t>
  </si>
  <si>
    <t>OUTPUTS</t>
  </si>
  <si>
    <t>Call option A</t>
  </si>
  <si>
    <t xml:space="preserve">       Call Values       </t>
  </si>
  <si>
    <t xml:space="preserve">   Profit or loss on each position</t>
  </si>
  <si>
    <t>Standard Deviation (annual)</t>
  </si>
  <si>
    <t xml:space="preserve"> </t>
  </si>
  <si>
    <t>d1</t>
  </si>
  <si>
    <t>Standard deviation (annual)</t>
  </si>
  <si>
    <t xml:space="preserve">Stock </t>
  </si>
  <si>
    <t>Call A</t>
  </si>
  <si>
    <t>Call B</t>
  </si>
  <si>
    <t>D match</t>
  </si>
  <si>
    <r>
      <t xml:space="preserve">D &amp; G </t>
    </r>
    <r>
      <rPr>
        <sz val="12"/>
        <color theme="1"/>
        <rFont val="Calibri"/>
        <family val="2"/>
        <scheme val="minor"/>
      </rPr>
      <t xml:space="preserve"> match</t>
    </r>
  </si>
  <si>
    <t>Maturity (years)</t>
  </si>
  <si>
    <t>d2</t>
  </si>
  <si>
    <t>Maturity (in years)</t>
  </si>
  <si>
    <t>Risk-free rate (annual)</t>
  </si>
  <si>
    <t>N(d1)</t>
  </si>
  <si>
    <t>N(d2)</t>
  </si>
  <si>
    <t>Exercise price</t>
  </si>
  <si>
    <t>B/S call value</t>
  </si>
  <si>
    <t>Dividend yield (annual)</t>
  </si>
  <si>
    <t>B/S put value</t>
  </si>
  <si>
    <t>Delta Call A</t>
  </si>
  <si>
    <t>Delta Call</t>
  </si>
  <si>
    <t>StepSize for graph</t>
  </si>
  <si>
    <t>Delta put A</t>
  </si>
  <si>
    <t>Delta Put</t>
  </si>
  <si>
    <t>Gamma call &amp; put 1</t>
  </si>
  <si>
    <t>Elasticity Call</t>
  </si>
  <si>
    <t>Call option B</t>
  </si>
  <si>
    <t>Elasiticity Put</t>
  </si>
  <si>
    <t>Gamma</t>
  </si>
  <si>
    <t>Vega</t>
  </si>
  <si>
    <t>Theta</t>
  </si>
  <si>
    <t>Delta Call B</t>
  </si>
  <si>
    <t>Delta put B</t>
  </si>
  <si>
    <t>Gamma call &amp; put 2</t>
  </si>
  <si>
    <t>Hedging inputs:</t>
  </si>
  <si>
    <t>Stock</t>
  </si>
  <si>
    <t>Delta</t>
  </si>
  <si>
    <t>Hedge portfolio</t>
  </si>
  <si>
    <t>Shares of Stk</t>
  </si>
  <si>
    <t>Number of Call B</t>
  </si>
  <si>
    <t>Initial cost</t>
  </si>
  <si>
    <r>
      <t>D</t>
    </r>
    <r>
      <rPr>
        <sz val="12"/>
        <color theme="1"/>
        <rFont val="Calibri"/>
        <family val="2"/>
        <scheme val="minor"/>
      </rPr>
      <t xml:space="preserve"> match only</t>
    </r>
  </si>
  <si>
    <r>
      <t>D &amp; G</t>
    </r>
    <r>
      <rPr>
        <sz val="12"/>
        <color theme="1"/>
        <rFont val="Calibri"/>
        <family val="2"/>
        <scheme val="minor"/>
      </rPr>
      <t xml:space="preserve"> match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</si>
</sst>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164" formatCode="0.000%"/>
    <numFmt numFmtId="165" formatCode="_(&quot;$&quot;* #,##0_);_(&quot;$&quot;* \(#,##0\);_(&quot;$&quot;* &quot;-&quot;??_);_(@_)"/>
    <numFmt numFmtId="166" formatCode="0.0%"/>
    <numFmt numFmtId="167" formatCode="0.0000%"/>
    <numFmt numFmtId="168" formatCode="&quot;$&quot;#,##0.00"/>
    <numFmt numFmtId="169" formatCode="0.000"/>
    <numFmt numFmtId="170" formatCode="0.0000"/>
    <numFmt numFmtId="171" formatCode="0.0"/>
  </numFmts>
  <fonts count="21" x14ac:knownFonts="1">
    <font>
      <sz val="12"/>
      <color theme="1"/>
      <name val="Calibri"/>
      <family val="2"/>
      <scheme val="minor"/>
    </font>
    <font>
      <sz val="16"/>
      <color rgb="FF000000"/>
      <name val="Calibri"/>
      <family val="2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rgb="FF0000F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sz val="20"/>
      <color rgb="FF000000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2"/>
      <color rgb="FF0000FF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000000"/>
      <name val="Calibri"/>
      <family val="2"/>
    </font>
    <font>
      <b/>
      <u/>
      <sz val="12"/>
      <name val="Calibri"/>
      <family val="2"/>
      <scheme val="minor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29">
    <xf numFmtId="0" fontId="0" fillId="0" borderId="0" xfId="0"/>
    <xf numFmtId="0" fontId="3" fillId="2" borderId="1" xfId="0" applyFont="1" applyFill="1" applyBorder="1"/>
    <xf numFmtId="0" fontId="0" fillId="2" borderId="1" xfId="0" applyFill="1" applyBorder="1"/>
    <xf numFmtId="0" fontId="0" fillId="0" borderId="1" xfId="0" applyFont="1" applyBorder="1"/>
    <xf numFmtId="0" fontId="0" fillId="0" borderId="0" xfId="0" applyFont="1"/>
    <xf numFmtId="0" fontId="0" fillId="2" borderId="0" xfId="0" applyFont="1" applyFill="1" applyBorder="1"/>
    <xf numFmtId="0" fontId="0" fillId="0" borderId="2" xfId="0" applyFont="1" applyBorder="1"/>
    <xf numFmtId="0" fontId="0" fillId="0" borderId="3" xfId="0" applyFont="1" applyBorder="1"/>
    <xf numFmtId="0" fontId="4" fillId="3" borderId="4" xfId="0" applyFont="1" applyFill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9" fontId="4" fillId="3" borderId="7" xfId="2" applyFont="1" applyFill="1" applyBorder="1" applyAlignment="1">
      <alignment horizontal="center"/>
    </xf>
    <xf numFmtId="9" fontId="0" fillId="0" borderId="0" xfId="0" applyNumberFormat="1" applyFont="1"/>
    <xf numFmtId="0" fontId="5" fillId="0" borderId="0" xfId="0" applyFont="1"/>
    <xf numFmtId="0" fontId="0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10" fontId="0" fillId="0" borderId="8" xfId="2" applyNumberFormat="1" applyFont="1" applyBorder="1" applyAlignment="1">
      <alignment horizontal="left" vertical="center"/>
    </xf>
    <xf numFmtId="0" fontId="0" fillId="0" borderId="0" xfId="0" applyFont="1" applyBorder="1"/>
    <xf numFmtId="0" fontId="0" fillId="0" borderId="11" xfId="0" applyFont="1" applyBorder="1"/>
    <xf numFmtId="10" fontId="4" fillId="0" borderId="12" xfId="2" applyNumberFormat="1" applyFont="1" applyBorder="1" applyAlignment="1">
      <alignment horizontal="center"/>
    </xf>
    <xf numFmtId="10" fontId="4" fillId="0" borderId="11" xfId="2" applyNumberFormat="1" applyFont="1" applyBorder="1" applyAlignment="1">
      <alignment horizontal="center"/>
    </xf>
    <xf numFmtId="10" fontId="4" fillId="0" borderId="9" xfId="2" applyNumberFormat="1" applyFont="1" applyBorder="1" applyAlignment="1">
      <alignment horizontal="center"/>
    </xf>
    <xf numFmtId="10" fontId="0" fillId="0" borderId="0" xfId="2" applyNumberFormat="1" applyFont="1"/>
    <xf numFmtId="10" fontId="0" fillId="0" borderId="8" xfId="2" applyNumberFormat="1" applyFont="1" applyBorder="1"/>
    <xf numFmtId="10" fontId="0" fillId="0" borderId="8" xfId="2" applyNumberFormat="1" applyFont="1" applyBorder="1" applyAlignment="1">
      <alignment horizontal="center"/>
    </xf>
    <xf numFmtId="0" fontId="0" fillId="0" borderId="8" xfId="0" applyFont="1" applyBorder="1" applyAlignment="1">
      <alignment horizontal="left" vertical="center" wrapText="1"/>
    </xf>
    <xf numFmtId="10" fontId="6" fillId="4" borderId="8" xfId="2" applyNumberFormat="1" applyFont="1" applyFill="1" applyBorder="1" applyAlignment="1">
      <alignment horizontal="center"/>
    </xf>
    <xf numFmtId="10" fontId="6" fillId="3" borderId="8" xfId="2" applyNumberFormat="1" applyFont="1" applyFill="1" applyBorder="1" applyAlignment="1">
      <alignment horizontal="center"/>
    </xf>
    <xf numFmtId="0" fontId="0" fillId="0" borderId="13" xfId="0" applyFont="1" applyBorder="1"/>
    <xf numFmtId="10" fontId="4" fillId="0" borderId="0" xfId="2" applyNumberFormat="1" applyFont="1" applyBorder="1" applyAlignment="1">
      <alignment horizontal="center"/>
    </xf>
    <xf numFmtId="10" fontId="4" fillId="0" borderId="13" xfId="2" applyNumberFormat="1" applyFont="1" applyBorder="1" applyAlignment="1">
      <alignment horizontal="center"/>
    </xf>
    <xf numFmtId="10" fontId="4" fillId="0" borderId="14" xfId="2" applyNumberFormat="1" applyFont="1" applyBorder="1" applyAlignment="1">
      <alignment horizontal="center"/>
    </xf>
    <xf numFmtId="0" fontId="0" fillId="0" borderId="0" xfId="0" applyFont="1" applyBorder="1" applyAlignment="1">
      <alignment horizontal="right" vertical="center" wrapText="1"/>
    </xf>
    <xf numFmtId="164" fontId="0" fillId="0" borderId="0" xfId="2" applyNumberFormat="1" applyFont="1"/>
    <xf numFmtId="10" fontId="0" fillId="0" borderId="10" xfId="2" applyNumberFormat="1" applyFont="1" applyBorder="1"/>
    <xf numFmtId="0" fontId="0" fillId="0" borderId="11" xfId="0" applyFont="1" applyBorder="1" applyAlignment="1">
      <alignment horizontal="right"/>
    </xf>
    <xf numFmtId="0" fontId="0" fillId="0" borderId="9" xfId="0" applyFont="1" applyBorder="1" applyAlignment="1">
      <alignment horizontal="right" vertical="center" wrapText="1"/>
    </xf>
    <xf numFmtId="10" fontId="0" fillId="0" borderId="15" xfId="2" applyNumberFormat="1" applyFont="1" applyBorder="1"/>
    <xf numFmtId="0" fontId="0" fillId="0" borderId="16" xfId="0" applyFont="1" applyBorder="1" applyAlignment="1">
      <alignment horizontal="right"/>
    </xf>
    <xf numFmtId="10" fontId="0" fillId="0" borderId="17" xfId="2" applyNumberFormat="1" applyFont="1" applyBorder="1" applyAlignment="1">
      <alignment horizontal="right"/>
    </xf>
    <xf numFmtId="0" fontId="0" fillId="0" borderId="18" xfId="0" applyFont="1" applyBorder="1" applyAlignment="1">
      <alignment wrapText="1"/>
    </xf>
    <xf numFmtId="10" fontId="6" fillId="0" borderId="13" xfId="2" applyNumberFormat="1" applyFont="1" applyBorder="1" applyAlignment="1">
      <alignment horizontal="right" wrapText="1"/>
    </xf>
    <xf numFmtId="10" fontId="4" fillId="0" borderId="14" xfId="2" applyNumberFormat="1" applyFont="1" applyBorder="1"/>
    <xf numFmtId="0" fontId="0" fillId="0" borderId="0" xfId="0" applyFont="1" applyAlignment="1">
      <alignment horizontal="left"/>
    </xf>
    <xf numFmtId="10" fontId="0" fillId="0" borderId="0" xfId="2" applyNumberFormat="1" applyFont="1" applyAlignment="1">
      <alignment horizontal="left"/>
    </xf>
    <xf numFmtId="0" fontId="0" fillId="0" borderId="15" xfId="0" applyFont="1" applyBorder="1" applyAlignment="1">
      <alignment wrapText="1"/>
    </xf>
    <xf numFmtId="10" fontId="6" fillId="0" borderId="16" xfId="2" applyNumberFormat="1" applyFont="1" applyBorder="1" applyAlignment="1">
      <alignment horizontal="right" wrapText="1"/>
    </xf>
    <xf numFmtId="10" fontId="4" fillId="0" borderId="16" xfId="2" applyNumberFormat="1" applyFont="1" applyBorder="1"/>
    <xf numFmtId="0" fontId="0" fillId="0" borderId="16" xfId="0" applyFont="1" applyBorder="1"/>
    <xf numFmtId="10" fontId="4" fillId="0" borderId="1" xfId="2" applyNumberFormat="1" applyFont="1" applyBorder="1" applyAlignment="1">
      <alignment horizontal="center"/>
    </xf>
    <xf numFmtId="10" fontId="4" fillId="0" borderId="16" xfId="2" applyNumberFormat="1" applyFont="1" applyBorder="1" applyAlignment="1">
      <alignment horizontal="center"/>
    </xf>
    <xf numFmtId="10" fontId="4" fillId="0" borderId="17" xfId="2" applyNumberFormat="1" applyFont="1" applyBorder="1" applyAlignment="1">
      <alignment horizontal="center"/>
    </xf>
    <xf numFmtId="0" fontId="0" fillId="0" borderId="0" xfId="0" applyFont="1" applyAlignment="1">
      <alignment horizontal="right"/>
    </xf>
    <xf numFmtId="10" fontId="0" fillId="0" borderId="19" xfId="2" applyNumberFormat="1" applyFont="1" applyBorder="1"/>
    <xf numFmtId="0" fontId="0" fillId="0" borderId="20" xfId="0" applyFont="1" applyBorder="1"/>
    <xf numFmtId="10" fontId="4" fillId="0" borderId="21" xfId="2" applyNumberFormat="1" applyFont="1" applyBorder="1"/>
    <xf numFmtId="10" fontId="0" fillId="0" borderId="21" xfId="2" applyNumberFormat="1" applyFont="1" applyBorder="1"/>
    <xf numFmtId="10" fontId="0" fillId="0" borderId="0" xfId="0" applyNumberFormat="1" applyFont="1"/>
    <xf numFmtId="0" fontId="0" fillId="0" borderId="10" xfId="0" applyFont="1" applyBorder="1"/>
    <xf numFmtId="10" fontId="0" fillId="0" borderId="12" xfId="0" applyNumberFormat="1" applyFont="1" applyBorder="1"/>
    <xf numFmtId="10" fontId="0" fillId="0" borderId="9" xfId="0" applyNumberFormat="1" applyFont="1" applyBorder="1"/>
    <xf numFmtId="10" fontId="7" fillId="0" borderId="0" xfId="0" applyNumberFormat="1" applyFont="1"/>
    <xf numFmtId="0" fontId="0" fillId="0" borderId="18" xfId="0" applyFont="1" applyBorder="1"/>
    <xf numFmtId="10" fontId="7" fillId="0" borderId="0" xfId="0" applyNumberFormat="1" applyFont="1" applyBorder="1"/>
    <xf numFmtId="10" fontId="8" fillId="0" borderId="14" xfId="0" applyNumberFormat="1" applyFont="1" applyBorder="1"/>
    <xf numFmtId="10" fontId="0" fillId="0" borderId="0" xfId="2" applyNumberFormat="1" applyFont="1" applyBorder="1"/>
    <xf numFmtId="10" fontId="0" fillId="0" borderId="14" xfId="2" applyNumberFormat="1" applyFont="1" applyBorder="1"/>
    <xf numFmtId="0" fontId="0" fillId="0" borderId="15" xfId="0" applyFont="1" applyBorder="1"/>
    <xf numFmtId="0" fontId="0" fillId="0" borderId="17" xfId="0" applyFont="1" applyBorder="1"/>
    <xf numFmtId="0" fontId="10" fillId="2" borderId="0" xfId="0" applyFont="1" applyFill="1"/>
    <xf numFmtId="0" fontId="10" fillId="2" borderId="0" xfId="0" applyFont="1" applyFill="1" applyBorder="1"/>
    <xf numFmtId="0" fontId="11" fillId="5" borderId="5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1" fillId="5" borderId="22" xfId="0" applyFont="1" applyFill="1" applyBorder="1" applyAlignment="1">
      <alignment horizontal="center" vertical="center"/>
    </xf>
    <xf numFmtId="0" fontId="11" fillId="5" borderId="23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/>
    </xf>
    <xf numFmtId="0" fontId="12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1" fillId="5" borderId="0" xfId="0" applyFont="1" applyFill="1" applyAlignment="1">
      <alignment horizontal="center"/>
    </xf>
    <xf numFmtId="0" fontId="0" fillId="2" borderId="0" xfId="0" applyFill="1"/>
    <xf numFmtId="0" fontId="0" fillId="2" borderId="0" xfId="0" applyFill="1" applyBorder="1"/>
    <xf numFmtId="0" fontId="5" fillId="2" borderId="24" xfId="0" applyFont="1" applyFill="1" applyBorder="1"/>
    <xf numFmtId="0" fontId="0" fillId="2" borderId="25" xfId="0" applyFill="1" applyBorder="1"/>
    <xf numFmtId="0" fontId="13" fillId="2" borderId="25" xfId="0" applyFont="1" applyFill="1" applyBorder="1" applyAlignment="1">
      <alignment horizontal="center"/>
    </xf>
    <xf numFmtId="0" fontId="13" fillId="2" borderId="2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44" fontId="5" fillId="2" borderId="28" xfId="0" applyNumberFormat="1" applyFont="1" applyFill="1" applyBorder="1" applyAlignment="1">
      <alignment horizontal="center" vertical="center"/>
    </xf>
    <xf numFmtId="44" fontId="14" fillId="3" borderId="29" xfId="0" applyNumberFormat="1" applyFont="1" applyFill="1" applyBorder="1" applyAlignment="1">
      <alignment horizontal="center" vertical="center"/>
    </xf>
    <xf numFmtId="0" fontId="5" fillId="2" borderId="0" xfId="0" applyFont="1" applyFill="1"/>
    <xf numFmtId="165" fontId="0" fillId="6" borderId="0" xfId="0" applyNumberFormat="1" applyFill="1"/>
    <xf numFmtId="165" fontId="0" fillId="2" borderId="0" xfId="0" applyNumberFormat="1" applyFill="1"/>
    <xf numFmtId="0" fontId="15" fillId="2" borderId="30" xfId="0" applyFont="1" applyFill="1" applyBorder="1"/>
    <xf numFmtId="9" fontId="4" fillId="3" borderId="0" xfId="0" applyNumberFormat="1" applyFont="1" applyFill="1" applyBorder="1"/>
    <xf numFmtId="44" fontId="4" fillId="2" borderId="0" xfId="1" applyFont="1" applyFill="1" applyBorder="1"/>
    <xf numFmtId="10" fontId="0" fillId="2" borderId="10" xfId="2" applyNumberFormat="1" applyFont="1" applyFill="1" applyBorder="1"/>
    <xf numFmtId="10" fontId="4" fillId="3" borderId="31" xfId="0" applyNumberFormat="1" applyFont="1" applyFill="1" applyBorder="1"/>
    <xf numFmtId="0" fontId="13" fillId="2" borderId="30" xfId="0" applyFont="1" applyFill="1" applyBorder="1"/>
    <xf numFmtId="10" fontId="0" fillId="2" borderId="13" xfId="2" applyNumberFormat="1" applyFont="1" applyFill="1" applyBorder="1" applyAlignment="1">
      <alignment horizontal="center" vertical="center"/>
    </xf>
    <xf numFmtId="10" fontId="4" fillId="3" borderId="32" xfId="0" applyNumberFormat="1" applyFont="1" applyFill="1" applyBorder="1" applyAlignment="1">
      <alignment horizontal="center" vertical="center"/>
    </xf>
    <xf numFmtId="0" fontId="13" fillId="2" borderId="0" xfId="0" applyFont="1" applyFill="1"/>
    <xf numFmtId="165" fontId="13" fillId="2" borderId="0" xfId="1" applyNumberFormat="1" applyFont="1" applyFill="1"/>
    <xf numFmtId="10" fontId="0" fillId="2" borderId="18" xfId="2" applyNumberFormat="1" applyFont="1" applyFill="1" applyBorder="1"/>
    <xf numFmtId="0" fontId="13" fillId="2" borderId="30" xfId="0" applyFont="1" applyFill="1" applyBorder="1" applyAlignment="1">
      <alignment horizontal="left"/>
    </xf>
    <xf numFmtId="0" fontId="0" fillId="2" borderId="13" xfId="0" applyFill="1" applyBorder="1"/>
    <xf numFmtId="0" fontId="0" fillId="2" borderId="13" xfId="0" applyFill="1" applyBorder="1" applyAlignment="1">
      <alignment horizontal="center" vertical="center"/>
    </xf>
    <xf numFmtId="0" fontId="16" fillId="3" borderId="32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left"/>
    </xf>
    <xf numFmtId="0" fontId="0" fillId="2" borderId="23" xfId="0" applyFill="1" applyBorder="1" applyAlignment="1">
      <alignment horizontal="center" vertical="center"/>
    </xf>
    <xf numFmtId="9" fontId="16" fillId="3" borderId="33" xfId="0" applyNumberFormat="1" applyFont="1" applyFill="1" applyBorder="1" applyAlignment="1">
      <alignment horizontal="center" vertical="center"/>
    </xf>
    <xf numFmtId="0" fontId="0" fillId="2" borderId="30" xfId="0" applyFill="1" applyBorder="1"/>
    <xf numFmtId="0" fontId="0" fillId="2" borderId="15" xfId="0" applyFill="1" applyBorder="1"/>
    <xf numFmtId="0" fontId="0" fillId="2" borderId="31" xfId="0" applyFill="1" applyBorder="1"/>
    <xf numFmtId="166" fontId="0" fillId="6" borderId="0" xfId="2" applyNumberFormat="1" applyFont="1" applyFill="1"/>
    <xf numFmtId="167" fontId="0" fillId="2" borderId="0" xfId="2" applyNumberFormat="1" applyFont="1" applyFill="1"/>
    <xf numFmtId="166" fontId="0" fillId="2" borderId="0" xfId="2" applyNumberFormat="1" applyFont="1" applyFill="1"/>
    <xf numFmtId="0" fontId="5" fillId="2" borderId="34" xfId="0" applyFont="1" applyFill="1" applyBorder="1"/>
    <xf numFmtId="0" fontId="0" fillId="2" borderId="20" xfId="0" applyFill="1" applyBorder="1"/>
    <xf numFmtId="10" fontId="0" fillId="2" borderId="20" xfId="2" applyNumberFormat="1" applyFont="1" applyFill="1" applyBorder="1"/>
    <xf numFmtId="0" fontId="0" fillId="2" borderId="35" xfId="0" applyFill="1" applyBorder="1"/>
    <xf numFmtId="9" fontId="0" fillId="2" borderId="0" xfId="0" applyNumberFormat="1" applyFill="1" applyBorder="1"/>
    <xf numFmtId="0" fontId="5" fillId="2" borderId="5" xfId="0" applyFont="1" applyFill="1" applyBorder="1"/>
    <xf numFmtId="0" fontId="0" fillId="2" borderId="6" xfId="0" applyFill="1" applyBorder="1"/>
    <xf numFmtId="10" fontId="4" fillId="3" borderId="6" xfId="0" applyNumberFormat="1" applyFont="1" applyFill="1" applyBorder="1"/>
    <xf numFmtId="44" fontId="0" fillId="2" borderId="6" xfId="1" applyFont="1" applyFill="1" applyBorder="1"/>
    <xf numFmtId="10" fontId="0" fillId="2" borderId="36" xfId="2" applyNumberFormat="1" applyFont="1" applyFill="1" applyBorder="1"/>
    <xf numFmtId="10" fontId="4" fillId="3" borderId="7" xfId="0" applyNumberFormat="1" applyFont="1" applyFill="1" applyBorder="1"/>
    <xf numFmtId="10" fontId="0" fillId="2" borderId="0" xfId="2" applyNumberFormat="1" applyFont="1" applyFill="1"/>
    <xf numFmtId="166" fontId="0" fillId="6" borderId="0" xfId="0" applyNumberFormat="1" applyFill="1"/>
    <xf numFmtId="0" fontId="11" fillId="5" borderId="37" xfId="0" applyFont="1" applyFill="1" applyBorder="1" applyAlignment="1">
      <alignment horizontal="center" vertical="center"/>
    </xf>
    <xf numFmtId="0" fontId="11" fillId="5" borderId="38" xfId="0" applyFont="1" applyFill="1" applyBorder="1" applyAlignment="1">
      <alignment horizontal="center" vertical="center"/>
    </xf>
    <xf numFmtId="0" fontId="11" fillId="5" borderId="39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13" fillId="2" borderId="24" xfId="0" applyFont="1" applyFill="1" applyBorder="1" applyAlignment="1">
      <alignment horizontal="center"/>
    </xf>
    <xf numFmtId="44" fontId="4" fillId="3" borderId="0" xfId="1" applyFont="1" applyFill="1" applyBorder="1"/>
    <xf numFmtId="0" fontId="4" fillId="3" borderId="31" xfId="0" applyFont="1" applyFill="1" applyBorder="1"/>
    <xf numFmtId="44" fontId="0" fillId="2" borderId="0" xfId="0" applyNumberFormat="1" applyFill="1" applyBorder="1"/>
    <xf numFmtId="0" fontId="0" fillId="2" borderId="5" xfId="0" applyFill="1" applyBorder="1"/>
    <xf numFmtId="44" fontId="4" fillId="3" borderId="6" xfId="1" applyFont="1" applyFill="1" applyBorder="1"/>
    <xf numFmtId="0" fontId="4" fillId="3" borderId="7" xfId="0" applyFont="1" applyFill="1" applyBorder="1"/>
    <xf numFmtId="0" fontId="4" fillId="3" borderId="30" xfId="0" applyFont="1" applyFill="1" applyBorder="1"/>
    <xf numFmtId="9" fontId="4" fillId="3" borderId="0" xfId="2" applyFont="1" applyFill="1" applyBorder="1"/>
    <xf numFmtId="0" fontId="4" fillId="3" borderId="0" xfId="0" applyFont="1" applyFill="1" applyBorder="1"/>
    <xf numFmtId="165" fontId="0" fillId="6" borderId="1" xfId="1" applyNumberFormat="1" applyFont="1" applyFill="1" applyBorder="1"/>
    <xf numFmtId="165" fontId="0" fillId="2" borderId="1" xfId="1" applyNumberFormat="1" applyFont="1" applyFill="1" applyBorder="1"/>
    <xf numFmtId="165" fontId="5" fillId="2" borderId="0" xfId="1" applyNumberFormat="1" applyFont="1" applyFill="1"/>
    <xf numFmtId="165" fontId="0" fillId="2" borderId="0" xfId="1" applyNumberFormat="1" applyFont="1" applyFill="1"/>
    <xf numFmtId="0" fontId="4" fillId="3" borderId="5" xfId="0" applyFont="1" applyFill="1" applyBorder="1"/>
    <xf numFmtId="9" fontId="4" fillId="3" borderId="6" xfId="2" applyFont="1" applyFill="1" applyBorder="1"/>
    <xf numFmtId="0" fontId="4" fillId="3" borderId="6" xfId="0" applyFont="1" applyFill="1" applyBorder="1"/>
    <xf numFmtId="0" fontId="13" fillId="2" borderId="0" xfId="0" applyFont="1" applyFill="1" applyBorder="1"/>
    <xf numFmtId="165" fontId="0" fillId="2" borderId="0" xfId="1" applyNumberFormat="1" applyFont="1" applyFill="1" applyBorder="1"/>
    <xf numFmtId="0" fontId="13" fillId="2" borderId="1" xfId="0" applyFont="1" applyFill="1" applyBorder="1"/>
    <xf numFmtId="44" fontId="5" fillId="2" borderId="0" xfId="0" applyNumberFormat="1" applyFont="1" applyFill="1" applyBorder="1"/>
    <xf numFmtId="0" fontId="0" fillId="2" borderId="0" xfId="0" applyFill="1" applyAlignment="1">
      <alignment horizontal="right"/>
    </xf>
    <xf numFmtId="14" fontId="0" fillId="2" borderId="0" xfId="0" applyNumberFormat="1" applyFill="1" applyBorder="1"/>
    <xf numFmtId="9" fontId="0" fillId="2" borderId="0" xfId="2" applyFont="1" applyFill="1"/>
    <xf numFmtId="2" fontId="0" fillId="2" borderId="0" xfId="0" applyNumberFormat="1" applyFill="1" applyBorder="1"/>
    <xf numFmtId="44" fontId="0" fillId="2" borderId="0" xfId="1" applyFont="1" applyFill="1" applyBorder="1"/>
    <xf numFmtId="10" fontId="0" fillId="2" borderId="0" xfId="2" applyNumberFormat="1" applyFont="1" applyFill="1" applyBorder="1"/>
    <xf numFmtId="166" fontId="0" fillId="2" borderId="0" xfId="2" applyNumberFormat="1" applyFont="1" applyFill="1" applyBorder="1"/>
    <xf numFmtId="10" fontId="17" fillId="2" borderId="0" xfId="0" applyNumberFormat="1" applyFont="1" applyFill="1" applyAlignment="1">
      <alignment wrapText="1"/>
    </xf>
    <xf numFmtId="0" fontId="5" fillId="2" borderId="0" xfId="0" applyFont="1" applyFill="1" applyBorder="1" applyAlignment="1">
      <alignment horizontal="center"/>
    </xf>
    <xf numFmtId="0" fontId="5" fillId="0" borderId="2" xfId="0" applyFont="1" applyBorder="1"/>
    <xf numFmtId="0" fontId="0" fillId="0" borderId="4" xfId="0" applyBorder="1"/>
    <xf numFmtId="0" fontId="0" fillId="0" borderId="30" xfId="0" applyBorder="1"/>
    <xf numFmtId="168" fontId="4" fillId="3" borderId="31" xfId="0" applyNumberFormat="1" applyFont="1" applyFill="1" applyBorder="1" applyAlignment="1">
      <alignment horizontal="right"/>
    </xf>
    <xf numFmtId="0" fontId="0" fillId="0" borderId="0" xfId="0" applyBorder="1"/>
    <xf numFmtId="169" fontId="4" fillId="3" borderId="31" xfId="0" applyNumberFormat="1" applyFont="1" applyFill="1" applyBorder="1" applyAlignment="1">
      <alignment horizontal="right"/>
    </xf>
    <xf numFmtId="0" fontId="0" fillId="0" borderId="5" xfId="0" applyBorder="1"/>
    <xf numFmtId="0" fontId="4" fillId="3" borderId="7" xfId="0" applyFont="1" applyFill="1" applyBorder="1" applyAlignment="1">
      <alignment horizontal="right"/>
    </xf>
    <xf numFmtId="0" fontId="5" fillId="0" borderId="37" xfId="0" applyFont="1" applyBorder="1"/>
    <xf numFmtId="44" fontId="5" fillId="7" borderId="39" xfId="0" applyNumberFormat="1" applyFont="1" applyFill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2" fontId="0" fillId="3" borderId="30" xfId="0" applyNumberFormat="1" applyFill="1" applyBorder="1" applyAlignment="1">
      <alignment horizontal="center"/>
    </xf>
    <xf numFmtId="2" fontId="0" fillId="3" borderId="0" xfId="0" applyNumberFormat="1" applyFill="1" applyBorder="1" applyAlignment="1">
      <alignment horizontal="center"/>
    </xf>
    <xf numFmtId="44" fontId="0" fillId="7" borderId="31" xfId="0" applyNumberFormat="1" applyFill="1" applyBorder="1" applyAlignment="1">
      <alignment horizontal="center"/>
    </xf>
    <xf numFmtId="2" fontId="0" fillId="7" borderId="30" xfId="0" applyNumberFormat="1" applyFill="1" applyBorder="1" applyAlignment="1">
      <alignment horizontal="center"/>
    </xf>
    <xf numFmtId="2" fontId="0" fillId="7" borderId="0" xfId="0" applyNumberFormat="1" applyFill="1" applyBorder="1" applyAlignment="1">
      <alignment horizontal="center"/>
    </xf>
    <xf numFmtId="2" fontId="0" fillId="7" borderId="5" xfId="0" applyNumberFormat="1" applyFill="1" applyBorder="1" applyAlignment="1">
      <alignment horizontal="center"/>
    </xf>
    <xf numFmtId="2" fontId="0" fillId="7" borderId="6" xfId="0" applyNumberFormat="1" applyFill="1" applyBorder="1" applyAlignment="1">
      <alignment horizontal="center"/>
    </xf>
    <xf numFmtId="44" fontId="0" fillId="7" borderId="7" xfId="0" applyNumberFormat="1" applyFill="1" applyBorder="1" applyAlignment="1">
      <alignment horizontal="center"/>
    </xf>
    <xf numFmtId="0" fontId="5" fillId="0" borderId="0" xfId="0" applyFont="1" applyAlignment="1">
      <alignment horizontal="center"/>
    </xf>
    <xf numFmtId="2" fontId="0" fillId="0" borderId="0" xfId="0" applyNumberFormat="1"/>
    <xf numFmtId="0" fontId="0" fillId="2" borderId="1" xfId="0" applyFont="1" applyFill="1" applyBorder="1"/>
    <xf numFmtId="0" fontId="0" fillId="8" borderId="1" xfId="0" applyFont="1" applyFill="1" applyBorder="1"/>
    <xf numFmtId="0" fontId="0" fillId="8" borderId="0" xfId="0" applyFont="1" applyFill="1"/>
    <xf numFmtId="0" fontId="19" fillId="0" borderId="2" xfId="0" applyFont="1" applyBorder="1"/>
    <xf numFmtId="0" fontId="7" fillId="0" borderId="4" xfId="0" applyFont="1" applyBorder="1"/>
    <xf numFmtId="0" fontId="8" fillId="0" borderId="0" xfId="0" applyFont="1"/>
    <xf numFmtId="0" fontId="19" fillId="0" borderId="0" xfId="0" applyFont="1"/>
    <xf numFmtId="170" fontId="7" fillId="0" borderId="0" xfId="0" applyNumberFormat="1" applyFont="1"/>
    <xf numFmtId="0" fontId="7" fillId="0" borderId="0" xfId="0" applyFont="1"/>
    <xf numFmtId="169" fontId="19" fillId="0" borderId="0" xfId="0" applyNumberFormat="1" applyFont="1"/>
    <xf numFmtId="169" fontId="20" fillId="0" borderId="0" xfId="0" applyNumberFormat="1" applyFont="1"/>
    <xf numFmtId="170" fontId="5" fillId="0" borderId="0" xfId="0" applyNumberFormat="1" applyFont="1" applyBorder="1"/>
    <xf numFmtId="0" fontId="7" fillId="0" borderId="30" xfId="0" applyFont="1" applyBorder="1"/>
    <xf numFmtId="170" fontId="4" fillId="0" borderId="31" xfId="0" applyNumberFormat="1" applyFont="1" applyBorder="1"/>
    <xf numFmtId="170" fontId="4" fillId="0" borderId="0" xfId="0" applyNumberFormat="1" applyFont="1"/>
    <xf numFmtId="169" fontId="7" fillId="0" borderId="0" xfId="0" applyNumberFormat="1" applyFont="1" applyAlignment="1">
      <alignment horizontal="right"/>
    </xf>
    <xf numFmtId="170" fontId="7" fillId="0" borderId="0" xfId="0" applyNumberFormat="1" applyFont="1" applyBorder="1" applyAlignment="1">
      <alignment horizontal="center"/>
    </xf>
    <xf numFmtId="0" fontId="4" fillId="0" borderId="31" xfId="0" applyFont="1" applyBorder="1"/>
    <xf numFmtId="0" fontId="4" fillId="0" borderId="0" xfId="0" applyFont="1"/>
    <xf numFmtId="171" fontId="0" fillId="0" borderId="0" xfId="0" applyNumberFormat="1" applyFont="1"/>
    <xf numFmtId="170" fontId="0" fillId="0" borderId="0" xfId="0" applyNumberFormat="1" applyFont="1"/>
    <xf numFmtId="170" fontId="0" fillId="0" borderId="0" xfId="0" applyNumberFormat="1" applyFont="1" applyBorder="1"/>
    <xf numFmtId="0" fontId="20" fillId="0" borderId="0" xfId="0" applyFont="1"/>
    <xf numFmtId="170" fontId="20" fillId="0" borderId="0" xfId="0" applyNumberFormat="1" applyFont="1"/>
    <xf numFmtId="0" fontId="7" fillId="0" borderId="5" xfId="0" applyFont="1" applyBorder="1"/>
    <xf numFmtId="0" fontId="4" fillId="0" borderId="7" xfId="0" applyFont="1" applyBorder="1"/>
    <xf numFmtId="2" fontId="7" fillId="0" borderId="0" xfId="0" applyNumberFormat="1" applyFont="1"/>
    <xf numFmtId="0" fontId="7" fillId="0" borderId="12" xfId="0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170" fontId="7" fillId="0" borderId="0" xfId="0" applyNumberFormat="1" applyFont="1" applyBorder="1"/>
    <xf numFmtId="0" fontId="4" fillId="0" borderId="14" xfId="0" applyFont="1" applyBorder="1"/>
    <xf numFmtId="170" fontId="7" fillId="0" borderId="1" xfId="0" applyNumberFormat="1" applyFont="1" applyBorder="1"/>
    <xf numFmtId="0" fontId="4" fillId="0" borderId="17" xfId="0" applyFont="1" applyBorder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170" fontId="8" fillId="0" borderId="0" xfId="0" applyNumberFormat="1" applyFont="1" applyAlignment="1">
      <alignment horizontal="right"/>
    </xf>
    <xf numFmtId="170" fontId="7" fillId="0" borderId="0" xfId="0" applyNumberFormat="1" applyFont="1" applyAlignment="1">
      <alignment horizontal="left"/>
    </xf>
    <xf numFmtId="169" fontId="7" fillId="0" borderId="0" xfId="0" applyNumberFormat="1" applyFont="1"/>
    <xf numFmtId="0" fontId="20" fillId="0" borderId="0" xfId="0" applyFont="1" applyBorder="1"/>
    <xf numFmtId="169" fontId="7" fillId="0" borderId="0" xfId="0" applyNumberFormat="1" applyFont="1" applyBorder="1"/>
    <xf numFmtId="0" fontId="7" fillId="0" borderId="0" xfId="0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2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n-US" sz="2000">
                <a:solidFill>
                  <a:srgbClr val="002060"/>
                </a:solidFill>
              </a:rPr>
              <a:t>Wealth Growth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2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1"/>
          <c:spPr>
            <a:ln w="22225" cap="rnd" cmpd="sng" algn="ctr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'Monte Carlo'!$P$35:$BH$35</c:f>
              <c:numCache>
                <c:formatCode>_("$"* #,##0_);_("$"* \(#,##0\);_("$"* "-"??_);_(@_)</c:formatCode>
                <c:ptCount val="45"/>
              </c:numCache>
            </c:numRef>
          </c:cat>
          <c:val>
            <c:numRef>
              <c:f>'Monte Carlo'!$P$37:$BH$37</c:f>
              <c:numCache>
                <c:formatCode>_("$"* #,##0_);_("$"* \(#,##0\);_("$"* "-"??_);_(@_)</c:formatCode>
                <c:ptCount val="45"/>
                <c:pt idx="0">
                  <c:v>33332.983076924625</c:v>
                </c:pt>
                <c:pt idx="1">
                  <c:v>55568.230804212377</c:v>
                </c:pt>
                <c:pt idx="2">
                  <c:v>92942.444333240433</c:v>
                </c:pt>
                <c:pt idx="3">
                  <c:v>133100.93848738074</c:v>
                </c:pt>
                <c:pt idx="4">
                  <c:v>205487.72164659121</c:v>
                </c:pt>
                <c:pt idx="5">
                  <c:v>248825.40281122879</c:v>
                </c:pt>
                <c:pt idx="6">
                  <c:v>335124.06371441158</c:v>
                </c:pt>
                <c:pt idx="7">
                  <c:v>631200.54775521194</c:v>
                </c:pt>
                <c:pt idx="8">
                  <c:v>829551.34511660482</c:v>
                </c:pt>
                <c:pt idx="9">
                  <c:v>1106794.2985610645</c:v>
                </c:pt>
                <c:pt idx="10">
                  <c:v>1309164.4054644916</c:v>
                </c:pt>
                <c:pt idx="11">
                  <c:v>1590845.796041203</c:v>
                </c:pt>
                <c:pt idx="12">
                  <c:v>1457649.9014320024</c:v>
                </c:pt>
                <c:pt idx="13">
                  <c:v>1606926.3673533935</c:v>
                </c:pt>
                <c:pt idx="14">
                  <c:v>1786731.1675841871</c:v>
                </c:pt>
                <c:pt idx="15">
                  <c:v>1910655.3466818908</c:v>
                </c:pt>
                <c:pt idx="16">
                  <c:v>1995168.6196067322</c:v>
                </c:pt>
                <c:pt idx="17">
                  <c:v>2182788.8686609399</c:v>
                </c:pt>
                <c:pt idx="18">
                  <c:v>2775578.2940115985</c:v>
                </c:pt>
                <c:pt idx="19">
                  <c:v>3236031.4979595141</c:v>
                </c:pt>
                <c:pt idx="20">
                  <c:v>2650782.0556496689</c:v>
                </c:pt>
                <c:pt idx="21">
                  <c:v>3305733.0305539318</c:v>
                </c:pt>
                <c:pt idx="22">
                  <c:v>3480073.6556148143</c:v>
                </c:pt>
                <c:pt idx="23">
                  <c:v>4002464.4853061764</c:v>
                </c:pt>
                <c:pt idx="24">
                  <c:v>4845734.520188977</c:v>
                </c:pt>
                <c:pt idx="25">
                  <c:v>7312253.4489550618</c:v>
                </c:pt>
                <c:pt idx="26">
                  <c:v>9133541.0041663814</c:v>
                </c:pt>
                <c:pt idx="27">
                  <c:v>9314875.3722067196</c:v>
                </c:pt>
                <c:pt idx="28">
                  <c:v>11100024.451434465</c:v>
                </c:pt>
                <c:pt idx="29">
                  <c:v>10136058.378917368</c:v>
                </c:pt>
                <c:pt idx="30">
                  <c:v>10170880.741452986</c:v>
                </c:pt>
                <c:pt idx="31">
                  <c:v>7588462.899127488</c:v>
                </c:pt>
                <c:pt idx="32">
                  <c:v>9589648.7024547681</c:v>
                </c:pt>
                <c:pt idx="33">
                  <c:v>10455895.45738269</c:v>
                </c:pt>
                <c:pt idx="34">
                  <c:v>13203792.282437425</c:v>
                </c:pt>
                <c:pt idx="35">
                  <c:v>16395901.996049372</c:v>
                </c:pt>
                <c:pt idx="36">
                  <c:v>20050406.469990976</c:v>
                </c:pt>
                <c:pt idx="37">
                  <c:v>25750590.134707514</c:v>
                </c:pt>
                <c:pt idx="38">
                  <c:v>28052320.697722133</c:v>
                </c:pt>
                <c:pt idx="39">
                  <c:v>36201050.111794412</c:v>
                </c:pt>
                <c:pt idx="40">
                  <c:v>48716342.685669124</c:v>
                </c:pt>
                <c:pt idx="41">
                  <c:v>57306011.939903237</c:v>
                </c:pt>
                <c:pt idx="42">
                  <c:v>50296770.097845964</c:v>
                </c:pt>
                <c:pt idx="43">
                  <c:v>53524812.978312373</c:v>
                </c:pt>
                <c:pt idx="44">
                  <c:v>60288982.245820612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1A2-491B-97F3-5FAF797CF17A}"/>
            </c:ext>
          </c:extLst>
        </c:ser>
        <c:ser>
          <c:idx val="3"/>
          <c:order val="2"/>
          <c:spPr>
            <a:ln w="22225" cap="rnd" cmpd="sng" algn="ctr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'Monte Carlo'!$P$35:$BH$35</c:f>
              <c:numCache>
                <c:formatCode>_("$"* #,##0_);_("$"* \(#,##0\);_("$"* "-"??_);_(@_)</c:formatCode>
                <c:ptCount val="45"/>
              </c:numCache>
            </c:numRef>
          </c:cat>
          <c:val>
            <c:numRef>
              <c:f>'Monte Carlo'!$P$38:$BH$38</c:f>
              <c:numCache>
                <c:formatCode>_("$"* #,##0_);_("$"* \(#,##0\);_("$"* "-"??_);_(@_)</c:formatCode>
                <c:ptCount val="45"/>
                <c:pt idx="0">
                  <c:v>32263.103339243353</c:v>
                </c:pt>
                <c:pt idx="1">
                  <c:v>51762.926065783409</c:v>
                </c:pt>
                <c:pt idx="2">
                  <c:v>89042.669998239056</c:v>
                </c:pt>
                <c:pt idx="3">
                  <c:v>114569.31311978272</c:v>
                </c:pt>
                <c:pt idx="4">
                  <c:v>205243.6285853599</c:v>
                </c:pt>
                <c:pt idx="5">
                  <c:v>320641.7715156565</c:v>
                </c:pt>
                <c:pt idx="6">
                  <c:v>485651.29840219219</c:v>
                </c:pt>
                <c:pt idx="7">
                  <c:v>1193750.2535997976</c:v>
                </c:pt>
                <c:pt idx="8">
                  <c:v>1409106.4597361558</c:v>
                </c:pt>
                <c:pt idx="9">
                  <c:v>1413327.7094131915</c:v>
                </c:pt>
                <c:pt idx="10">
                  <c:v>1501022.3174828095</c:v>
                </c:pt>
                <c:pt idx="11">
                  <c:v>1663413.7480748105</c:v>
                </c:pt>
                <c:pt idx="12">
                  <c:v>2256488.0142446663</c:v>
                </c:pt>
                <c:pt idx="13">
                  <c:v>2723970.4696219773</c:v>
                </c:pt>
                <c:pt idx="14">
                  <c:v>3727495.7643753546</c:v>
                </c:pt>
                <c:pt idx="15">
                  <c:v>3047960.8399788984</c:v>
                </c:pt>
                <c:pt idx="16">
                  <c:v>3475152.9792366899</c:v>
                </c:pt>
                <c:pt idx="17">
                  <c:v>3498760.5881162025</c:v>
                </c:pt>
                <c:pt idx="18">
                  <c:v>3584549.0233961446</c:v>
                </c:pt>
                <c:pt idx="19">
                  <c:v>2928473.2068280107</c:v>
                </c:pt>
                <c:pt idx="20">
                  <c:v>2918680.0287542134</c:v>
                </c:pt>
                <c:pt idx="21">
                  <c:v>3286239.7779023647</c:v>
                </c:pt>
                <c:pt idx="22">
                  <c:v>4180308.4199367799</c:v>
                </c:pt>
                <c:pt idx="23">
                  <c:v>3886357.2375561772</c:v>
                </c:pt>
                <c:pt idx="24">
                  <c:v>5478053.29606215</c:v>
                </c:pt>
                <c:pt idx="25">
                  <c:v>5567542.7592796972</c:v>
                </c:pt>
                <c:pt idx="26">
                  <c:v>5188938.5799541501</c:v>
                </c:pt>
                <c:pt idx="27">
                  <c:v>6680250.4993542768</c:v>
                </c:pt>
                <c:pt idx="28">
                  <c:v>7742122.3410179289</c:v>
                </c:pt>
                <c:pt idx="29">
                  <c:v>8243963.8555646753</c:v>
                </c:pt>
                <c:pt idx="30">
                  <c:v>6526327.3718852587</c:v>
                </c:pt>
                <c:pt idx="31">
                  <c:v>8046360.4980237223</c:v>
                </c:pt>
                <c:pt idx="32">
                  <c:v>8552736.847280452</c:v>
                </c:pt>
                <c:pt idx="33">
                  <c:v>9913457.9497367311</c:v>
                </c:pt>
                <c:pt idx="34">
                  <c:v>10550277.944699628</c:v>
                </c:pt>
                <c:pt idx="35">
                  <c:v>8217202.9967740159</c:v>
                </c:pt>
                <c:pt idx="36">
                  <c:v>8357353.1690725544</c:v>
                </c:pt>
                <c:pt idx="37">
                  <c:v>9858864.42888573</c:v>
                </c:pt>
                <c:pt idx="38">
                  <c:v>13530314.214080783</c:v>
                </c:pt>
                <c:pt idx="39">
                  <c:v>15452137.057426265</c:v>
                </c:pt>
                <c:pt idx="40">
                  <c:v>18265188.407351848</c:v>
                </c:pt>
                <c:pt idx="41">
                  <c:v>24470863.050503179</c:v>
                </c:pt>
                <c:pt idx="42">
                  <c:v>29629780.073125515</c:v>
                </c:pt>
                <c:pt idx="43">
                  <c:v>24846995.03149933</c:v>
                </c:pt>
                <c:pt idx="44">
                  <c:v>28513101.230151847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91A2-491B-97F3-5FAF797CF17A}"/>
            </c:ext>
          </c:extLst>
        </c:ser>
        <c:ser>
          <c:idx val="4"/>
          <c:order val="3"/>
          <c:spPr>
            <a:ln w="22225" cap="rnd" cmpd="sng" algn="ctr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'Monte Carlo'!$P$35:$BH$35</c:f>
              <c:numCache>
                <c:formatCode>_("$"* #,##0_);_("$"* \(#,##0\);_("$"* "-"??_);_(@_)</c:formatCode>
                <c:ptCount val="45"/>
              </c:numCache>
            </c:numRef>
          </c:cat>
          <c:val>
            <c:numRef>
              <c:f>'Monte Carlo'!$P$39:$BH$39</c:f>
              <c:numCache>
                <c:formatCode>_("$"* #,##0_);_("$"* \(#,##0\);_("$"* "-"??_);_(@_)</c:formatCode>
                <c:ptCount val="45"/>
                <c:pt idx="0">
                  <c:v>25132.800316823752</c:v>
                </c:pt>
                <c:pt idx="1">
                  <c:v>54164.431015212227</c:v>
                </c:pt>
                <c:pt idx="2">
                  <c:v>87181.630645632467</c:v>
                </c:pt>
                <c:pt idx="3">
                  <c:v>91107.782005771543</c:v>
                </c:pt>
                <c:pt idx="4">
                  <c:v>109493.11287725806</c:v>
                </c:pt>
                <c:pt idx="5">
                  <c:v>129617.04356199107</c:v>
                </c:pt>
                <c:pt idx="6">
                  <c:v>135959.88153517895</c:v>
                </c:pt>
                <c:pt idx="7">
                  <c:v>715667.30060599837</c:v>
                </c:pt>
                <c:pt idx="8">
                  <c:v>715974.67452310689</c:v>
                </c:pt>
                <c:pt idx="9">
                  <c:v>931323.59270533524</c:v>
                </c:pt>
                <c:pt idx="10">
                  <c:v>1005986.5147626183</c:v>
                </c:pt>
                <c:pt idx="11">
                  <c:v>1154330.8886164571</c:v>
                </c:pt>
                <c:pt idx="12">
                  <c:v>1592582.3913053041</c:v>
                </c:pt>
                <c:pt idx="13">
                  <c:v>1272947.4899306647</c:v>
                </c:pt>
                <c:pt idx="14">
                  <c:v>1328481.1372353481</c:v>
                </c:pt>
                <c:pt idx="15">
                  <c:v>1524741.8517619171</c:v>
                </c:pt>
                <c:pt idx="16">
                  <c:v>1782383.1552712482</c:v>
                </c:pt>
                <c:pt idx="17">
                  <c:v>2017861.5182868433</c:v>
                </c:pt>
                <c:pt idx="18">
                  <c:v>2143121.5303766173</c:v>
                </c:pt>
                <c:pt idx="19">
                  <c:v>1378560.4287276852</c:v>
                </c:pt>
                <c:pt idx="20">
                  <c:v>1519654.6848466767</c:v>
                </c:pt>
                <c:pt idx="21">
                  <c:v>1693870.2240663646</c:v>
                </c:pt>
                <c:pt idx="22">
                  <c:v>1777520.5451603951</c:v>
                </c:pt>
                <c:pt idx="23">
                  <c:v>2500037.6556256544</c:v>
                </c:pt>
                <c:pt idx="24">
                  <c:v>2567233.0381306689</c:v>
                </c:pt>
                <c:pt idx="25">
                  <c:v>2926254.5116290068</c:v>
                </c:pt>
                <c:pt idx="26">
                  <c:v>3005780.3114855886</c:v>
                </c:pt>
                <c:pt idx="27">
                  <c:v>3195259.8893687851</c:v>
                </c:pt>
                <c:pt idx="28">
                  <c:v>4123524.0496763503</c:v>
                </c:pt>
                <c:pt idx="29">
                  <c:v>5628760.7021944895</c:v>
                </c:pt>
                <c:pt idx="30">
                  <c:v>6887327.6229398008</c:v>
                </c:pt>
                <c:pt idx="31">
                  <c:v>7886893.6803429015</c:v>
                </c:pt>
                <c:pt idx="32">
                  <c:v>6365144.9126163609</c:v>
                </c:pt>
                <c:pt idx="33">
                  <c:v>7949249.7412294289</c:v>
                </c:pt>
                <c:pt idx="34">
                  <c:v>7460096.8935219301</c:v>
                </c:pt>
                <c:pt idx="35">
                  <c:v>8893631.7301846649</c:v>
                </c:pt>
                <c:pt idx="36">
                  <c:v>10178026.458599249</c:v>
                </c:pt>
                <c:pt idx="37">
                  <c:v>9556890.1952117644</c:v>
                </c:pt>
                <c:pt idx="38">
                  <c:v>9821977.6581741609</c:v>
                </c:pt>
                <c:pt idx="39">
                  <c:v>10644350.305680525</c:v>
                </c:pt>
                <c:pt idx="40">
                  <c:v>11381432.575692868</c:v>
                </c:pt>
                <c:pt idx="41">
                  <c:v>13533384.553751796</c:v>
                </c:pt>
                <c:pt idx="42">
                  <c:v>17581086.207412347</c:v>
                </c:pt>
                <c:pt idx="43">
                  <c:v>23067410.677344047</c:v>
                </c:pt>
                <c:pt idx="44">
                  <c:v>17101473.014232412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91A2-491B-97F3-5FAF797CF17A}"/>
            </c:ext>
          </c:extLst>
        </c:ser>
        <c:ser>
          <c:idx val="5"/>
          <c:order val="4"/>
          <c:spPr>
            <a:ln w="22225" cap="rnd" cmpd="sng" algn="ctr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'Monte Carlo'!$P$35:$BH$35</c:f>
              <c:numCache>
                <c:formatCode>_("$"* #,##0_);_("$"* \(#,##0\);_("$"* "-"??_);_(@_)</c:formatCode>
                <c:ptCount val="45"/>
              </c:numCache>
            </c:numRef>
          </c:cat>
          <c:val>
            <c:numRef>
              <c:f>'Monte Carlo'!$P$40:$BH$40</c:f>
              <c:numCache>
                <c:formatCode>_("$"* #,##0_);_("$"* \(#,##0\);_("$"* "-"??_);_(@_)</c:formatCode>
                <c:ptCount val="45"/>
                <c:pt idx="0">
                  <c:v>35765.795451545178</c:v>
                </c:pt>
                <c:pt idx="1">
                  <c:v>39369.374322674354</c:v>
                </c:pt>
                <c:pt idx="2">
                  <c:v>74047.223251734278</c:v>
                </c:pt>
                <c:pt idx="3">
                  <c:v>90035.035771962372</c:v>
                </c:pt>
                <c:pt idx="4">
                  <c:v>128767.2052528529</c:v>
                </c:pt>
                <c:pt idx="5">
                  <c:v>139830.24207187438</c:v>
                </c:pt>
                <c:pt idx="6">
                  <c:v>193490.01445820407</c:v>
                </c:pt>
                <c:pt idx="7">
                  <c:v>739776.09457947302</c:v>
                </c:pt>
                <c:pt idx="8">
                  <c:v>937104.53520102624</c:v>
                </c:pt>
                <c:pt idx="9">
                  <c:v>1063780.7613998912</c:v>
                </c:pt>
                <c:pt idx="10">
                  <c:v>848572.12614939315</c:v>
                </c:pt>
                <c:pt idx="11">
                  <c:v>1103296.6409332696</c:v>
                </c:pt>
                <c:pt idx="12">
                  <c:v>1223202.4264621716</c:v>
                </c:pt>
                <c:pt idx="13">
                  <c:v>1482307.9152842329</c:v>
                </c:pt>
                <c:pt idx="14">
                  <c:v>1775693.1434422676</c:v>
                </c:pt>
                <c:pt idx="15">
                  <c:v>1980892.4189573696</c:v>
                </c:pt>
                <c:pt idx="16">
                  <c:v>2467529.4221884091</c:v>
                </c:pt>
                <c:pt idx="17">
                  <c:v>3262269.2573048156</c:v>
                </c:pt>
                <c:pt idx="18">
                  <c:v>4042789.5809565228</c:v>
                </c:pt>
                <c:pt idx="19">
                  <c:v>3877538.1646973118</c:v>
                </c:pt>
                <c:pt idx="20">
                  <c:v>3949381.7936429894</c:v>
                </c:pt>
                <c:pt idx="21">
                  <c:v>4008736.3741113204</c:v>
                </c:pt>
                <c:pt idx="22">
                  <c:v>4721322.1024478758</c:v>
                </c:pt>
                <c:pt idx="23">
                  <c:v>4521386.9257698534</c:v>
                </c:pt>
                <c:pt idx="24">
                  <c:v>4923771.7752864258</c:v>
                </c:pt>
                <c:pt idx="25">
                  <c:v>5622855.8453416582</c:v>
                </c:pt>
                <c:pt idx="26">
                  <c:v>6200569.5948097762</c:v>
                </c:pt>
                <c:pt idx="27">
                  <c:v>6485742.0335021811</c:v>
                </c:pt>
                <c:pt idx="28">
                  <c:v>8476310.3768123947</c:v>
                </c:pt>
                <c:pt idx="29">
                  <c:v>9689168.0279721338</c:v>
                </c:pt>
                <c:pt idx="30">
                  <c:v>10164701.382531742</c:v>
                </c:pt>
                <c:pt idx="31">
                  <c:v>11046411.042955918</c:v>
                </c:pt>
                <c:pt idx="32">
                  <c:v>12661277.352808766</c:v>
                </c:pt>
                <c:pt idx="33">
                  <c:v>14135731.802583285</c:v>
                </c:pt>
                <c:pt idx="34">
                  <c:v>17177581.423930068</c:v>
                </c:pt>
                <c:pt idx="35">
                  <c:v>19709682.847421661</c:v>
                </c:pt>
                <c:pt idx="36">
                  <c:v>24473340.453829583</c:v>
                </c:pt>
                <c:pt idx="37">
                  <c:v>27794401.004397608</c:v>
                </c:pt>
                <c:pt idx="38">
                  <c:v>29313501.480598535</c:v>
                </c:pt>
                <c:pt idx="39">
                  <c:v>29664656.323619157</c:v>
                </c:pt>
                <c:pt idx="40">
                  <c:v>30210514.886460096</c:v>
                </c:pt>
                <c:pt idx="41">
                  <c:v>40312300.640185639</c:v>
                </c:pt>
                <c:pt idx="42">
                  <c:v>50001717.376927122</c:v>
                </c:pt>
                <c:pt idx="43">
                  <c:v>68633154.041487157</c:v>
                </c:pt>
                <c:pt idx="44">
                  <c:v>73992261.922239438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91A2-491B-97F3-5FAF797CF17A}"/>
            </c:ext>
          </c:extLst>
        </c:ser>
        <c:ser>
          <c:idx val="6"/>
          <c:order val="5"/>
          <c:spPr>
            <a:ln w="22225" cap="rnd" cmpd="sng" algn="ctr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'Monte Carlo'!$P$35:$BH$35</c:f>
              <c:numCache>
                <c:formatCode>_("$"* #,##0_);_("$"* \(#,##0\);_("$"* "-"??_);_(@_)</c:formatCode>
                <c:ptCount val="45"/>
              </c:numCache>
            </c:numRef>
          </c:cat>
          <c:val>
            <c:numRef>
              <c:f>'Monte Carlo'!$P$41:$BH$41</c:f>
              <c:numCache>
                <c:formatCode>_("$"* #,##0_);_("$"* \(#,##0\);_("$"* "-"??_);_(@_)</c:formatCode>
                <c:ptCount val="45"/>
                <c:pt idx="0">
                  <c:v>38527.660290678927</c:v>
                </c:pt>
                <c:pt idx="1">
                  <c:v>57841.571993795034</c:v>
                </c:pt>
                <c:pt idx="2">
                  <c:v>76906.064817549443</c:v>
                </c:pt>
                <c:pt idx="3">
                  <c:v>114141.64299319478</c:v>
                </c:pt>
                <c:pt idx="4">
                  <c:v>146110.0892532015</c:v>
                </c:pt>
                <c:pt idx="5">
                  <c:v>163238.84072399139</c:v>
                </c:pt>
                <c:pt idx="6">
                  <c:v>240567.18504234726</c:v>
                </c:pt>
                <c:pt idx="7">
                  <c:v>741369.73163160542</c:v>
                </c:pt>
                <c:pt idx="8">
                  <c:v>1101725.5044524015</c:v>
                </c:pt>
                <c:pt idx="9">
                  <c:v>1187444.5948600133</c:v>
                </c:pt>
                <c:pt idx="10">
                  <c:v>1557999.1913275095</c:v>
                </c:pt>
                <c:pt idx="11">
                  <c:v>1721514.4717777818</c:v>
                </c:pt>
                <c:pt idx="12">
                  <c:v>1702045.5628788578</c:v>
                </c:pt>
                <c:pt idx="13">
                  <c:v>2116943.4575363472</c:v>
                </c:pt>
                <c:pt idx="14">
                  <c:v>2402898.022951154</c:v>
                </c:pt>
                <c:pt idx="15">
                  <c:v>3217555.7583423462</c:v>
                </c:pt>
                <c:pt idx="16">
                  <c:v>2654170.8563985247</c:v>
                </c:pt>
                <c:pt idx="17">
                  <c:v>2904398.2648572605</c:v>
                </c:pt>
                <c:pt idx="18">
                  <c:v>2409395.6070510605</c:v>
                </c:pt>
                <c:pt idx="19">
                  <c:v>2944371.4620829853</c:v>
                </c:pt>
                <c:pt idx="20">
                  <c:v>3629604.2030553552</c:v>
                </c:pt>
                <c:pt idx="21">
                  <c:v>4288495.917632224</c:v>
                </c:pt>
                <c:pt idx="22">
                  <c:v>5901556.9685487757</c:v>
                </c:pt>
                <c:pt idx="23">
                  <c:v>8030013.8633904355</c:v>
                </c:pt>
                <c:pt idx="24">
                  <c:v>9502608.4063681401</c:v>
                </c:pt>
                <c:pt idx="25">
                  <c:v>9925651.081905745</c:v>
                </c:pt>
                <c:pt idx="26">
                  <c:v>12409711.192163307</c:v>
                </c:pt>
                <c:pt idx="27">
                  <c:v>15550747.419362256</c:v>
                </c:pt>
                <c:pt idx="28">
                  <c:v>18069341.454512823</c:v>
                </c:pt>
                <c:pt idx="29">
                  <c:v>20025934.768028565</c:v>
                </c:pt>
                <c:pt idx="30">
                  <c:v>19467042.296226829</c:v>
                </c:pt>
                <c:pt idx="31">
                  <c:v>21454830.23865775</c:v>
                </c:pt>
                <c:pt idx="32">
                  <c:v>27014032.014171533</c:v>
                </c:pt>
                <c:pt idx="33">
                  <c:v>24321155.652323227</c:v>
                </c:pt>
                <c:pt idx="34">
                  <c:v>30000915.055949979</c:v>
                </c:pt>
                <c:pt idx="35">
                  <c:v>28161371.194038883</c:v>
                </c:pt>
                <c:pt idx="36">
                  <c:v>28394992.379184511</c:v>
                </c:pt>
                <c:pt idx="37">
                  <c:v>35727565.320105277</c:v>
                </c:pt>
                <c:pt idx="38">
                  <c:v>38883057.019148491</c:v>
                </c:pt>
                <c:pt idx="39">
                  <c:v>39094072.295605093</c:v>
                </c:pt>
                <c:pt idx="40">
                  <c:v>45283742.897501439</c:v>
                </c:pt>
                <c:pt idx="41">
                  <c:v>48439182.5783334</c:v>
                </c:pt>
                <c:pt idx="42">
                  <c:v>52909957.887456849</c:v>
                </c:pt>
                <c:pt idx="43">
                  <c:v>65917485.484613076</c:v>
                </c:pt>
                <c:pt idx="44">
                  <c:v>96411303.642905354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91A2-491B-97F3-5FAF797CF17A}"/>
            </c:ext>
          </c:extLst>
        </c:ser>
        <c:ser>
          <c:idx val="7"/>
          <c:order val="6"/>
          <c:spPr>
            <a:ln w="22225" cap="rnd" cmpd="sng" algn="ctr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'Monte Carlo'!$P$35:$BH$35</c:f>
              <c:numCache>
                <c:formatCode>_("$"* #,##0_);_("$"* \(#,##0\);_("$"* "-"??_);_(@_)</c:formatCode>
                <c:ptCount val="45"/>
              </c:numCache>
            </c:numRef>
          </c:cat>
          <c:val>
            <c:numRef>
              <c:f>'Monte Carlo'!$P$42:$BH$42</c:f>
              <c:numCache>
                <c:formatCode>_("$"* #,##0_);_("$"* \(#,##0\);_("$"* "-"??_);_(@_)</c:formatCode>
                <c:ptCount val="45"/>
                <c:pt idx="0">
                  <c:v>31440.62901741008</c:v>
                </c:pt>
                <c:pt idx="1">
                  <c:v>53669.208424993558</c:v>
                </c:pt>
                <c:pt idx="2">
                  <c:v>93029.311651514028</c:v>
                </c:pt>
                <c:pt idx="3">
                  <c:v>114054.50364986257</c:v>
                </c:pt>
                <c:pt idx="4">
                  <c:v>147556.93788536612</c:v>
                </c:pt>
                <c:pt idx="5">
                  <c:v>184287.20322192716</c:v>
                </c:pt>
                <c:pt idx="6">
                  <c:v>229216.66071101633</c:v>
                </c:pt>
                <c:pt idx="7">
                  <c:v>670215.53022009437</c:v>
                </c:pt>
                <c:pt idx="8">
                  <c:v>1077558.8065631601</c:v>
                </c:pt>
                <c:pt idx="9">
                  <c:v>1186148.8628242901</c:v>
                </c:pt>
                <c:pt idx="10">
                  <c:v>1468681.4441325986</c:v>
                </c:pt>
                <c:pt idx="11">
                  <c:v>1555290.5787424489</c:v>
                </c:pt>
                <c:pt idx="12">
                  <c:v>1620836.6027891499</c:v>
                </c:pt>
                <c:pt idx="13">
                  <c:v>1730937.0345942583</c:v>
                </c:pt>
                <c:pt idx="14">
                  <c:v>2218868.6851859335</c:v>
                </c:pt>
                <c:pt idx="15">
                  <c:v>2719757.131124163</c:v>
                </c:pt>
                <c:pt idx="16">
                  <c:v>2471002.7320081056</c:v>
                </c:pt>
                <c:pt idx="17">
                  <c:v>2694883.1016478669</c:v>
                </c:pt>
                <c:pt idx="18">
                  <c:v>3067560.4507476157</c:v>
                </c:pt>
                <c:pt idx="19">
                  <c:v>3189786.3444056986</c:v>
                </c:pt>
                <c:pt idx="20">
                  <c:v>3519777.7259289487</c:v>
                </c:pt>
                <c:pt idx="21">
                  <c:v>4183137.1425038292</c:v>
                </c:pt>
                <c:pt idx="22">
                  <c:v>5049202.6872369973</c:v>
                </c:pt>
                <c:pt idx="23">
                  <c:v>5006047.5126347244</c:v>
                </c:pt>
                <c:pt idx="24">
                  <c:v>4809314.5230072262</c:v>
                </c:pt>
                <c:pt idx="25">
                  <c:v>4947003.5919200322</c:v>
                </c:pt>
                <c:pt idx="26">
                  <c:v>6244337.1589721013</c:v>
                </c:pt>
                <c:pt idx="27">
                  <c:v>6301104.2900999608</c:v>
                </c:pt>
                <c:pt idx="28">
                  <c:v>5576794.7937275609</c:v>
                </c:pt>
                <c:pt idx="29">
                  <c:v>5560549.9896744676</c:v>
                </c:pt>
                <c:pt idx="30">
                  <c:v>7294990.1051964732</c:v>
                </c:pt>
                <c:pt idx="31">
                  <c:v>8529281.9984627906</c:v>
                </c:pt>
                <c:pt idx="32">
                  <c:v>8697344.7426502667</c:v>
                </c:pt>
                <c:pt idx="33">
                  <c:v>7787137.3668197086</c:v>
                </c:pt>
                <c:pt idx="34">
                  <c:v>6991966.8263231348</c:v>
                </c:pt>
                <c:pt idx="35">
                  <c:v>7996353.3602901632</c:v>
                </c:pt>
                <c:pt idx="36">
                  <c:v>9025847.2275178749</c:v>
                </c:pt>
                <c:pt idx="37">
                  <c:v>9590298.4195828196</c:v>
                </c:pt>
                <c:pt idx="38">
                  <c:v>9393599.2445392087</c:v>
                </c:pt>
                <c:pt idx="39">
                  <c:v>9478414.0881899092</c:v>
                </c:pt>
                <c:pt idx="40">
                  <c:v>9242357.8905175682</c:v>
                </c:pt>
                <c:pt idx="41">
                  <c:v>9567554.5834710654</c:v>
                </c:pt>
                <c:pt idx="42">
                  <c:v>11321462.382227618</c:v>
                </c:pt>
                <c:pt idx="43">
                  <c:v>14277870.333356377</c:v>
                </c:pt>
                <c:pt idx="44">
                  <c:v>16448920.18668819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91A2-491B-97F3-5FAF797CF17A}"/>
            </c:ext>
          </c:extLst>
        </c:ser>
        <c:ser>
          <c:idx val="8"/>
          <c:order val="7"/>
          <c:spPr>
            <a:ln w="22225" cap="rnd" cmpd="sng" algn="ctr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'Monte Carlo'!$P$35:$BH$35</c:f>
              <c:numCache>
                <c:formatCode>_("$"* #,##0_);_("$"* \(#,##0\);_("$"* "-"??_);_(@_)</c:formatCode>
                <c:ptCount val="45"/>
              </c:numCache>
            </c:numRef>
          </c:cat>
          <c:val>
            <c:numRef>
              <c:f>'Monte Carlo'!$P$43:$BH$43</c:f>
              <c:numCache>
                <c:formatCode>_("$"* #,##0_);_("$"* \(#,##0\);_("$"* "-"??_);_(@_)</c:formatCode>
                <c:ptCount val="45"/>
                <c:pt idx="0">
                  <c:v>34553.110311462318</c:v>
                </c:pt>
                <c:pt idx="1">
                  <c:v>62506.404371563731</c:v>
                </c:pt>
                <c:pt idx="2">
                  <c:v>87403.180869155491</c:v>
                </c:pt>
                <c:pt idx="3">
                  <c:v>121156.03676167926</c:v>
                </c:pt>
                <c:pt idx="4">
                  <c:v>167302.56383888106</c:v>
                </c:pt>
                <c:pt idx="5">
                  <c:v>151956.45490293781</c:v>
                </c:pt>
                <c:pt idx="6">
                  <c:v>219475.8765414565</c:v>
                </c:pt>
                <c:pt idx="7">
                  <c:v>705142.94172762125</c:v>
                </c:pt>
                <c:pt idx="8">
                  <c:v>729753.07089369814</c:v>
                </c:pt>
                <c:pt idx="9">
                  <c:v>799349.47381977411</c:v>
                </c:pt>
                <c:pt idx="10">
                  <c:v>797253.91121956182</c:v>
                </c:pt>
                <c:pt idx="11">
                  <c:v>773909.45322839031</c:v>
                </c:pt>
                <c:pt idx="12">
                  <c:v>1003835.2051476613</c:v>
                </c:pt>
                <c:pt idx="13">
                  <c:v>1159455.1409063432</c:v>
                </c:pt>
                <c:pt idx="14">
                  <c:v>1305730.9468419061</c:v>
                </c:pt>
                <c:pt idx="15">
                  <c:v>1680262.0973122581</c:v>
                </c:pt>
                <c:pt idx="16">
                  <c:v>1665171.569672842</c:v>
                </c:pt>
                <c:pt idx="17">
                  <c:v>2042148.7674479864</c:v>
                </c:pt>
                <c:pt idx="18">
                  <c:v>2269129.8610122325</c:v>
                </c:pt>
                <c:pt idx="19">
                  <c:v>2320179.8647886869</c:v>
                </c:pt>
                <c:pt idx="20">
                  <c:v>2660523.6638995968</c:v>
                </c:pt>
                <c:pt idx="21">
                  <c:v>3218061.7822528905</c:v>
                </c:pt>
                <c:pt idx="22">
                  <c:v>4035322.7025602078</c:v>
                </c:pt>
                <c:pt idx="23">
                  <c:v>3027634.5796645321</c:v>
                </c:pt>
                <c:pt idx="24">
                  <c:v>3119002.8364897296</c:v>
                </c:pt>
                <c:pt idx="25">
                  <c:v>3073450.4624095657</c:v>
                </c:pt>
                <c:pt idx="26">
                  <c:v>3455601.7711769324</c:v>
                </c:pt>
                <c:pt idx="27">
                  <c:v>4033405.6113856314</c:v>
                </c:pt>
                <c:pt idx="28">
                  <c:v>4225707.166728057</c:v>
                </c:pt>
                <c:pt idx="29">
                  <c:v>4444375.2461842466</c:v>
                </c:pt>
                <c:pt idx="30">
                  <c:v>4627592.3028508043</c:v>
                </c:pt>
                <c:pt idx="31">
                  <c:v>5127677.1258318732</c:v>
                </c:pt>
                <c:pt idx="32">
                  <c:v>5964530.7624130342</c:v>
                </c:pt>
                <c:pt idx="33">
                  <c:v>7917966.3886586977</c:v>
                </c:pt>
                <c:pt idx="34">
                  <c:v>10557491.577138534</c:v>
                </c:pt>
                <c:pt idx="35">
                  <c:v>12411098.838596988</c:v>
                </c:pt>
                <c:pt idx="36">
                  <c:v>13190837.335823355</c:v>
                </c:pt>
                <c:pt idx="37">
                  <c:v>14245496.994788721</c:v>
                </c:pt>
                <c:pt idx="38">
                  <c:v>13707594.406075556</c:v>
                </c:pt>
                <c:pt idx="39">
                  <c:v>12569167.665456412</c:v>
                </c:pt>
                <c:pt idx="40">
                  <c:v>11924714.236646451</c:v>
                </c:pt>
                <c:pt idx="41">
                  <c:v>14908381.683847465</c:v>
                </c:pt>
                <c:pt idx="42">
                  <c:v>18022363.284843501</c:v>
                </c:pt>
                <c:pt idx="43">
                  <c:v>17125651.172602333</c:v>
                </c:pt>
                <c:pt idx="44">
                  <c:v>16962063.652072985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91A2-491B-97F3-5FAF797CF17A}"/>
            </c:ext>
          </c:extLst>
        </c:ser>
        <c:ser>
          <c:idx val="9"/>
          <c:order val="8"/>
          <c:spPr>
            <a:ln w="22225" cap="rnd" cmpd="sng" algn="ctr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'Monte Carlo'!$P$35:$BH$35</c:f>
              <c:numCache>
                <c:formatCode>_("$"* #,##0_);_("$"* \(#,##0\);_("$"* "-"??_);_(@_)</c:formatCode>
                <c:ptCount val="45"/>
              </c:numCache>
            </c:numRef>
          </c:cat>
          <c:val>
            <c:numRef>
              <c:f>'Monte Carlo'!$P$44:$BH$44</c:f>
              <c:numCache>
                <c:formatCode>_("$"* #,##0_);_("$"* \(#,##0\);_("$"* "-"??_);_(@_)</c:formatCode>
                <c:ptCount val="45"/>
                <c:pt idx="0">
                  <c:v>26202.365736136082</c:v>
                </c:pt>
                <c:pt idx="1">
                  <c:v>47491.433986450589</c:v>
                </c:pt>
                <c:pt idx="2">
                  <c:v>64474.291758617408</c:v>
                </c:pt>
                <c:pt idx="3">
                  <c:v>75985.806801524421</c:v>
                </c:pt>
                <c:pt idx="4">
                  <c:v>85700.351839203053</c:v>
                </c:pt>
                <c:pt idx="5">
                  <c:v>131656.34405069836</c:v>
                </c:pt>
                <c:pt idx="6">
                  <c:v>156317.89349051012</c:v>
                </c:pt>
                <c:pt idx="7">
                  <c:v>499770.3274422476</c:v>
                </c:pt>
                <c:pt idx="8">
                  <c:v>440278.22434020881</c:v>
                </c:pt>
                <c:pt idx="9">
                  <c:v>498642.73287408159</c:v>
                </c:pt>
                <c:pt idx="10">
                  <c:v>492766.27085664385</c:v>
                </c:pt>
                <c:pt idx="11">
                  <c:v>547710.62942499283</c:v>
                </c:pt>
                <c:pt idx="12">
                  <c:v>581508.38715791935</c:v>
                </c:pt>
                <c:pt idx="13">
                  <c:v>761219.15435820934</c:v>
                </c:pt>
                <c:pt idx="14">
                  <c:v>851090.70409868576</c:v>
                </c:pt>
                <c:pt idx="15">
                  <c:v>928436.95349863335</c:v>
                </c:pt>
                <c:pt idx="16">
                  <c:v>942871.09125948977</c:v>
                </c:pt>
                <c:pt idx="17">
                  <c:v>908803.13079010812</c:v>
                </c:pt>
                <c:pt idx="18">
                  <c:v>1171252.1715837759</c:v>
                </c:pt>
                <c:pt idx="19">
                  <c:v>1020366.4411084347</c:v>
                </c:pt>
                <c:pt idx="20">
                  <c:v>1260221.157200862</c:v>
                </c:pt>
                <c:pt idx="21">
                  <c:v>1511288.7468626159</c:v>
                </c:pt>
                <c:pt idx="22">
                  <c:v>2049771.4559640961</c:v>
                </c:pt>
                <c:pt idx="23">
                  <c:v>2455708.5247515384</c:v>
                </c:pt>
                <c:pt idx="24">
                  <c:v>2422975.4991805768</c:v>
                </c:pt>
                <c:pt idx="25">
                  <c:v>2736726.147415583</c:v>
                </c:pt>
                <c:pt idx="26">
                  <c:v>3840889.1270825113</c:v>
                </c:pt>
                <c:pt idx="27">
                  <c:v>4318966.7477350608</c:v>
                </c:pt>
                <c:pt idx="28">
                  <c:v>3803025.4800461726</c:v>
                </c:pt>
                <c:pt idx="29">
                  <c:v>3829359.1238748687</c:v>
                </c:pt>
                <c:pt idx="30">
                  <c:v>4760525.1309032273</c:v>
                </c:pt>
                <c:pt idx="31">
                  <c:v>5461958.1193673741</c:v>
                </c:pt>
                <c:pt idx="32">
                  <c:v>5321691.6411137581</c:v>
                </c:pt>
                <c:pt idx="33">
                  <c:v>6240838.7085521473</c:v>
                </c:pt>
                <c:pt idx="34">
                  <c:v>6795026.5676369779</c:v>
                </c:pt>
                <c:pt idx="35">
                  <c:v>6461664.639353008</c:v>
                </c:pt>
                <c:pt idx="36">
                  <c:v>6888440.9735648278</c:v>
                </c:pt>
                <c:pt idx="37">
                  <c:v>7240730.181876054</c:v>
                </c:pt>
                <c:pt idx="38">
                  <c:v>6423992.9328970611</c:v>
                </c:pt>
                <c:pt idx="39">
                  <c:v>6861367.1323216539</c:v>
                </c:pt>
                <c:pt idx="40">
                  <c:v>8992829.0861617588</c:v>
                </c:pt>
                <c:pt idx="41">
                  <c:v>9448089.2378487065</c:v>
                </c:pt>
                <c:pt idx="42">
                  <c:v>7950439.0863902476</c:v>
                </c:pt>
                <c:pt idx="43">
                  <c:v>8664870.1555187609</c:v>
                </c:pt>
                <c:pt idx="44">
                  <c:v>8394890.4177615661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7-91A2-491B-97F3-5FAF797CF17A}"/>
            </c:ext>
          </c:extLst>
        </c:ser>
        <c:ser>
          <c:idx val="10"/>
          <c:order val="9"/>
          <c:spPr>
            <a:ln w="22225" cap="rnd" cmpd="sng" algn="ctr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'Monte Carlo'!$P$35:$BH$35</c:f>
              <c:numCache>
                <c:formatCode>_("$"* #,##0_);_("$"* \(#,##0\);_("$"* "-"??_);_(@_)</c:formatCode>
                <c:ptCount val="45"/>
              </c:numCache>
            </c:numRef>
          </c:cat>
          <c:val>
            <c:numRef>
              <c:f>'Monte Carlo'!$P$45:$BH$45</c:f>
              <c:numCache>
                <c:formatCode>_("$"* #,##0_);_("$"* \(#,##0\);_("$"* "-"??_);_(@_)</c:formatCode>
                <c:ptCount val="45"/>
                <c:pt idx="0">
                  <c:v>38747.740082038275</c:v>
                </c:pt>
                <c:pt idx="1">
                  <c:v>70671.96977011174</c:v>
                </c:pt>
                <c:pt idx="2">
                  <c:v>104251.55166764707</c:v>
                </c:pt>
                <c:pt idx="3">
                  <c:v>128028.7584650639</c:v>
                </c:pt>
                <c:pt idx="4">
                  <c:v>197027.82864891319</c:v>
                </c:pt>
                <c:pt idx="5">
                  <c:v>258395.83127651361</c:v>
                </c:pt>
                <c:pt idx="6">
                  <c:v>342744.44900195155</c:v>
                </c:pt>
                <c:pt idx="7">
                  <c:v>593540.95340435987</c:v>
                </c:pt>
                <c:pt idx="8">
                  <c:v>714842.32737670233</c:v>
                </c:pt>
                <c:pt idx="9">
                  <c:v>644414.21009676019</c:v>
                </c:pt>
                <c:pt idx="10">
                  <c:v>739724.12823624362</c:v>
                </c:pt>
                <c:pt idx="11">
                  <c:v>1010582.6992009183</c:v>
                </c:pt>
                <c:pt idx="12">
                  <c:v>1325271.8086847076</c:v>
                </c:pt>
                <c:pt idx="13">
                  <c:v>1346942.2122355888</c:v>
                </c:pt>
                <c:pt idx="14">
                  <c:v>1585399.0242568224</c:v>
                </c:pt>
                <c:pt idx="15">
                  <c:v>1858062.8345217463</c:v>
                </c:pt>
                <c:pt idx="16">
                  <c:v>1814068.9917145243</c:v>
                </c:pt>
                <c:pt idx="17">
                  <c:v>2234376.429891469</c:v>
                </c:pt>
                <c:pt idx="18">
                  <c:v>1573466.1054564081</c:v>
                </c:pt>
                <c:pt idx="19">
                  <c:v>1593775.2166515763</c:v>
                </c:pt>
                <c:pt idx="20">
                  <c:v>1785519.9773464156</c:v>
                </c:pt>
                <c:pt idx="21">
                  <c:v>1699624.8218745238</c:v>
                </c:pt>
                <c:pt idx="22">
                  <c:v>1909353.4071816832</c:v>
                </c:pt>
                <c:pt idx="23">
                  <c:v>1771867.7504807129</c:v>
                </c:pt>
                <c:pt idx="24">
                  <c:v>1655397.5702174187</c:v>
                </c:pt>
                <c:pt idx="25">
                  <c:v>1880047.911153048</c:v>
                </c:pt>
                <c:pt idx="26">
                  <c:v>1829323.1647693308</c:v>
                </c:pt>
                <c:pt idx="27">
                  <c:v>2077491.9004675737</c:v>
                </c:pt>
                <c:pt idx="28">
                  <c:v>2489139.3130806535</c:v>
                </c:pt>
                <c:pt idx="29">
                  <c:v>2490296.4784428785</c:v>
                </c:pt>
                <c:pt idx="30">
                  <c:v>2846387.8801323976</c:v>
                </c:pt>
                <c:pt idx="31">
                  <c:v>2939206.444817889</c:v>
                </c:pt>
                <c:pt idx="32">
                  <c:v>3162955.7447302253</c:v>
                </c:pt>
                <c:pt idx="33">
                  <c:v>3520579.1840229332</c:v>
                </c:pt>
                <c:pt idx="34">
                  <c:v>4507555.0289899474</c:v>
                </c:pt>
                <c:pt idx="35">
                  <c:v>4065841.6549782711</c:v>
                </c:pt>
                <c:pt idx="36">
                  <c:v>4528001.5152780563</c:v>
                </c:pt>
                <c:pt idx="37">
                  <c:v>4238675.773880532</c:v>
                </c:pt>
                <c:pt idx="38">
                  <c:v>4976939.1902302168</c:v>
                </c:pt>
                <c:pt idx="39">
                  <c:v>4653796.8514874289</c:v>
                </c:pt>
                <c:pt idx="40">
                  <c:v>4920853.0807208149</c:v>
                </c:pt>
                <c:pt idx="41">
                  <c:v>4944470.6735568158</c:v>
                </c:pt>
                <c:pt idx="42">
                  <c:v>5504597.8787192237</c:v>
                </c:pt>
                <c:pt idx="43">
                  <c:v>6194927.7619546428</c:v>
                </c:pt>
                <c:pt idx="44">
                  <c:v>6756931.9261238538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8-91A2-491B-97F3-5FAF797CF17A}"/>
            </c:ext>
          </c:extLst>
        </c:ser>
        <c:ser>
          <c:idx val="0"/>
          <c:order val="10"/>
          <c:spPr>
            <a:ln w="44450" cap="rnd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'Monte Carlo'!$P$35:$BH$35</c:f>
              <c:numCache>
                <c:formatCode>_("$"* #,##0_);_("$"* \(#,##0\);_("$"* "-"??_);_(@_)</c:formatCode>
                <c:ptCount val="45"/>
              </c:numCache>
            </c:numRef>
          </c:cat>
          <c:val>
            <c:numRef>
              <c:f>'Monte Carlo'!$P$46:$BH$46</c:f>
              <c:numCache>
                <c:formatCode>_("$"* #,##0.00_);_("$"* \(#,##0.00\);_("$"* "-"??_);_(@_)</c:formatCode>
                <c:ptCount val="45"/>
                <c:pt idx="0">
                  <c:v>32811.868443635874</c:v>
                </c:pt>
                <c:pt idx="1">
                  <c:v>53479.692230717672</c:v>
                </c:pt>
                <c:pt idx="2">
                  <c:v>82598.724693465236</c:v>
                </c:pt>
                <c:pt idx="3">
                  <c:v>106885.84431245003</c:v>
                </c:pt>
                <c:pt idx="4">
                  <c:v>153912.36728035746</c:v>
                </c:pt>
                <c:pt idx="5">
                  <c:v>194470.79521949688</c:v>
                </c:pt>
                <c:pt idx="6">
                  <c:v>261580.31654936037</c:v>
                </c:pt>
                <c:pt idx="7">
                  <c:v>703236.01437118289</c:v>
                </c:pt>
                <c:pt idx="8">
                  <c:v>859507.98413231759</c:v>
                </c:pt>
                <c:pt idx="9">
                  <c:v>966032.02860130346</c:v>
                </c:pt>
                <c:pt idx="10">
                  <c:v>1074413.4135826814</c:v>
                </c:pt>
                <c:pt idx="11">
                  <c:v>1231755.9097507962</c:v>
                </c:pt>
                <c:pt idx="12">
                  <c:v>1417354.2539638826</c:v>
                </c:pt>
                <c:pt idx="13">
                  <c:v>1620028.7975467276</c:v>
                </c:pt>
                <c:pt idx="14">
                  <c:v>1918851.5557726391</c:v>
                </c:pt>
                <c:pt idx="15">
                  <c:v>2177765.6458217716</c:v>
                </c:pt>
                <c:pt idx="16">
                  <c:v>2282372.2708790423</c:v>
                </c:pt>
                <c:pt idx="17">
                  <c:v>2601500.8070669277</c:v>
                </c:pt>
                <c:pt idx="18">
                  <c:v>2759588.5981652867</c:v>
                </c:pt>
                <c:pt idx="19">
                  <c:v>2741893.0674521108</c:v>
                </c:pt>
                <c:pt idx="20">
                  <c:v>2854367.6745856619</c:v>
                </c:pt>
                <c:pt idx="21">
                  <c:v>3283904.1729581673</c:v>
                </c:pt>
                <c:pt idx="22">
                  <c:v>4087889.1255751885</c:v>
                </c:pt>
                <c:pt idx="23">
                  <c:v>4271354.8030826831</c:v>
                </c:pt>
                <c:pt idx="24">
                  <c:v>4806774.6546140034</c:v>
                </c:pt>
                <c:pt idx="25">
                  <c:v>5289650.1551333489</c:v>
                </c:pt>
                <c:pt idx="26">
                  <c:v>5982770.5654453766</c:v>
                </c:pt>
                <c:pt idx="27">
                  <c:v>6714151.6814073194</c:v>
                </c:pt>
                <c:pt idx="28">
                  <c:v>7554410.7539234404</c:v>
                </c:pt>
                <c:pt idx="29">
                  <c:v>8133243.0971893668</c:v>
                </c:pt>
                <c:pt idx="30">
                  <c:v>8501114.9479672443</c:v>
                </c:pt>
                <c:pt idx="31">
                  <c:v>9426101.3185044304</c:v>
                </c:pt>
                <c:pt idx="32">
                  <c:v>10007344.655433919</c:v>
                </c:pt>
                <c:pt idx="33">
                  <c:v>10452760.416717155</c:v>
                </c:pt>
                <c:pt idx="34">
                  <c:v>11919646.237481929</c:v>
                </c:pt>
                <c:pt idx="35">
                  <c:v>12510504.910910588</c:v>
                </c:pt>
                <c:pt idx="36">
                  <c:v>13991139.463466471</c:v>
                </c:pt>
                <c:pt idx="37">
                  <c:v>16282384.295674402</c:v>
                </c:pt>
                <c:pt idx="38">
                  <c:v>17354781.180024259</c:v>
                </c:pt>
                <c:pt idx="39">
                  <c:v>18426931.518599782</c:v>
                </c:pt>
                <c:pt idx="40">
                  <c:v>20558901.157759242</c:v>
                </c:pt>
                <c:pt idx="41">
                  <c:v>24009559.02887693</c:v>
                </c:pt>
                <c:pt idx="42">
                  <c:v>26315869.428119097</c:v>
                </c:pt>
                <c:pt idx="43">
                  <c:v>30331321.501072891</c:v>
                </c:pt>
                <c:pt idx="44">
                  <c:v>34957152.239144996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9-91A2-491B-97F3-5FAF797CF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540643456"/>
        <c:axId val="619859008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spPr>
                  <a:ln w="22225" cap="rnd" cmpd="sng" algn="ctr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'Monte Carlo'!$P$35:$BH$35</c15:sqref>
                        </c15:formulaRef>
                      </c:ext>
                    </c:extLst>
                    <c:numCache>
                      <c:formatCode>_("$"* #,##0_);_("$"* \(#,##0\);_("$"* "-"??_);_(@_)</c:formatCode>
                      <c:ptCount val="45"/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'Monte Carlo'!$P$36:$BH$36</c15:sqref>
                        </c15:formulaRef>
                      </c:ext>
                    </c:extLst>
                    <c:numCache>
                      <c:formatCode>_("$"* #,##0_);_("$"* \(#,##0\);_("$"* "-"??_);_(@_)</c:formatCode>
                      <c:ptCount val="45"/>
                      <c:pt idx="0">
                        <c:v>32152.496814096121</c:v>
                      </c:pt>
                      <c:pt idx="1">
                        <c:v>41751.371552379649</c:v>
                      </c:pt>
                      <c:pt idx="2">
                        <c:v>56708.877941322768</c:v>
                      </c:pt>
                      <c:pt idx="3">
                        <c:v>86678.625068278066</c:v>
                      </c:pt>
                      <c:pt idx="4">
                        <c:v>146434.23297594747</c:v>
                      </c:pt>
                      <c:pt idx="5">
                        <c:v>216258.81805814951</c:v>
                      </c:pt>
                      <c:pt idx="6">
                        <c:v>277255.84259633528</c:v>
                      </c:pt>
                      <c:pt idx="7">
                        <c:v>541926.4627454204</c:v>
                      </c:pt>
                      <c:pt idx="8">
                        <c:v>639184.89312011166</c:v>
                      </c:pt>
                      <c:pt idx="9">
                        <c:v>829094.04945863341</c:v>
                      </c:pt>
                      <c:pt idx="10">
                        <c:v>1022963.8261949458</c:v>
                      </c:pt>
                      <c:pt idx="11">
                        <c:v>1196664.1914676884</c:v>
                      </c:pt>
                      <c:pt idx="12">
                        <c:v>1410122.2395363846</c:v>
                      </c:pt>
                      <c:pt idx="13">
                        <c:v>1998638.7336462603</c:v>
                      </c:pt>
                      <c:pt idx="14">
                        <c:v>2206126.9617547332</c:v>
                      </c:pt>
                      <c:pt idx="15">
                        <c:v>2909331.2260384969</c:v>
                      </c:pt>
                      <c:pt idx="16">
                        <c:v>3556203.2914338531</c:v>
                      </c:pt>
                      <c:pt idx="17">
                        <c:v>4268718.1436657934</c:v>
                      </c:pt>
                      <c:pt idx="18">
                        <c:v>4559043.3570608944</c:v>
                      </c:pt>
                      <c:pt idx="19">
                        <c:v>4929848.0472712051</c:v>
                      </c:pt>
                      <c:pt idx="20">
                        <c:v>4649531.4555318905</c:v>
                      </c:pt>
                      <c:pt idx="21">
                        <c:v>5643853.9118216047</c:v>
                      </c:pt>
                      <c:pt idx="22">
                        <c:v>7774459.3111002622</c:v>
                      </c:pt>
                      <c:pt idx="23">
                        <c:v>7512029.4956470253</c:v>
                      </c:pt>
                      <c:pt idx="24">
                        <c:v>8743655.0812087189</c:v>
                      </c:pt>
                      <c:pt idx="25">
                        <c:v>8904715.7913240846</c:v>
                      </c:pt>
                      <c:pt idx="26">
                        <c:v>8519013.7498736791</c:v>
                      </c:pt>
                      <c:pt idx="27">
                        <c:v>9183673.050590748</c:v>
                      </c:pt>
                      <c:pt idx="28">
                        <c:v>9938118.1121979877</c:v>
                      </c:pt>
                      <c:pt idx="29">
                        <c:v>11283964.401039978</c:v>
                      </c:pt>
                      <c:pt idx="30">
                        <c:v>12265374.645552944</c:v>
                      </c:pt>
                      <c:pt idx="31">
                        <c:v>16179931.137456592</c:v>
                      </c:pt>
                      <c:pt idx="32">
                        <c:v>12744083.83410003</c:v>
                      </c:pt>
                      <c:pt idx="33">
                        <c:v>12285591.915862696</c:v>
                      </c:pt>
                      <c:pt idx="34">
                        <c:v>11951758.774191687</c:v>
                      </c:pt>
                      <c:pt idx="35">
                        <c:v>12792299.851418836</c:v>
                      </c:pt>
                      <c:pt idx="36">
                        <c:v>14824148.65180373</c:v>
                      </c:pt>
                      <c:pt idx="37">
                        <c:v>18820330.503307976</c:v>
                      </c:pt>
                      <c:pt idx="38">
                        <c:v>19444514.956776444</c:v>
                      </c:pt>
                      <c:pt idx="39">
                        <c:v>19650303.354416959</c:v>
                      </c:pt>
                      <c:pt idx="40">
                        <c:v>16651035.830870457</c:v>
                      </c:pt>
                      <c:pt idx="41">
                        <c:v>17165351.347368021</c:v>
                      </c:pt>
                      <c:pt idx="42">
                        <c:v>19940520.006242588</c:v>
                      </c:pt>
                      <c:pt idx="43">
                        <c:v>21060037.374040749</c:v>
                      </c:pt>
                      <c:pt idx="44">
                        <c:v>24701594.15345373</c:v>
                      </c:pt>
                    </c:numCache>
                  </c:numRef>
                </c:val>
                <c:smooth val="0"/>
                <c:extLst>
                  <c:ext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 </c15:sqref>
                              </c15:formulaRef>
                            </c:ext>
                          </c:extLst>
                        </c:strRef>
                      </c15:tx>
                    </c15:filteredSeriesTitle>
                  </c:ext>
                  <c:ext xmlns:c16="http://schemas.microsoft.com/office/drawing/2014/chart" uri="{C3380CC4-5D6E-409C-BE32-E72D297353CC}">
                    <c16:uniqueId val="{0000000A-91A2-491B-97F3-5FAF797CF17A}"/>
                  </c:ext>
                </c:extLst>
              </c15:ser>
            </c15:filteredLineSeries>
          </c:ext>
        </c:extLst>
      </c:lineChart>
      <c:dateAx>
        <c:axId val="540643456"/>
        <c:scaling>
          <c:orientation val="minMax"/>
        </c:scaling>
        <c:delete val="0"/>
        <c:axPos val="b"/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859008"/>
        <c:crosses val="autoZero"/>
        <c:auto val="0"/>
        <c:lblOffset val="100"/>
        <c:baseTimeUnit val="days"/>
        <c:majorUnit val="5"/>
        <c:majorTimeUnit val="days"/>
      </c:dateAx>
      <c:valAx>
        <c:axId val="619859008"/>
        <c:scaling>
          <c:orientation val="minMax"/>
        </c:scaling>
        <c:delete val="0"/>
        <c:axPos val="l"/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0643456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76883846828709"/>
          <c:y val="6.8453565896598637E-2"/>
          <c:w val="0.76426968221591352"/>
          <c:h val="0.79029154688997205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Lit>
              <c:formatCode>General</c:formatCode>
              <c:ptCount val="57"/>
              <c:pt idx="0">
                <c:v>0</c:v>
              </c:pt>
              <c:pt idx="1">
                <c:v>0.01</c:v>
              </c:pt>
              <c:pt idx="2">
                <c:v>0.02</c:v>
              </c:pt>
              <c:pt idx="3">
                <c:v>0.03</c:v>
              </c:pt>
              <c:pt idx="4">
                <c:v>0.04</c:v>
              </c:pt>
              <c:pt idx="5">
                <c:v>0.05</c:v>
              </c:pt>
              <c:pt idx="6">
                <c:v>6.0000000000000005E-2</c:v>
              </c:pt>
              <c:pt idx="7">
                <c:v>7.0000000000000007E-2</c:v>
              </c:pt>
              <c:pt idx="8">
                <c:v>0.08</c:v>
              </c:pt>
              <c:pt idx="9">
                <c:v>0.09</c:v>
              </c:pt>
              <c:pt idx="10">
                <c:v>9.9999999999999992E-2</c:v>
              </c:pt>
              <c:pt idx="11">
                <c:v>0.10999999999999999</c:v>
              </c:pt>
              <c:pt idx="12">
                <c:v>0.11999999999999998</c:v>
              </c:pt>
              <c:pt idx="13">
                <c:v>0.12999999999999998</c:v>
              </c:pt>
              <c:pt idx="14">
                <c:v>0.13999999999999999</c:v>
              </c:pt>
              <c:pt idx="15">
                <c:v>0.15</c:v>
              </c:pt>
              <c:pt idx="16">
                <c:v>0.16</c:v>
              </c:pt>
              <c:pt idx="17">
                <c:v>0.17</c:v>
              </c:pt>
              <c:pt idx="18">
                <c:v>0.18000000000000002</c:v>
              </c:pt>
              <c:pt idx="19">
                <c:v>0.19000000000000003</c:v>
              </c:pt>
              <c:pt idx="20">
                <c:v>0.20000000000000004</c:v>
              </c:pt>
            </c:numLit>
          </c:xVal>
          <c:yVal>
            <c:numLit>
              <c:formatCode>General</c:formatCode>
              <c:ptCount val="57"/>
              <c:pt idx="0">
                <c:v>77</c:v>
              </c:pt>
              <c:pt idx="1">
                <c:v>77.40442840336577</c:v>
              </c:pt>
              <c:pt idx="2">
                <c:v>80.112085428981686</c:v>
              </c:pt>
              <c:pt idx="3">
                <c:v>77.270673715153066</c:v>
              </c:pt>
              <c:pt idx="4">
                <c:v>81.040570190363937</c:v>
              </c:pt>
              <c:pt idx="5">
                <c:v>86.067355098060048</c:v>
              </c:pt>
              <c:pt idx="6">
                <c:v>86.661933504548557</c:v>
              </c:pt>
              <c:pt idx="7">
                <c:v>89.012267380337832</c:v>
              </c:pt>
              <c:pt idx="8">
                <c:v>92.068822531012287</c:v>
              </c:pt>
              <c:pt idx="9">
                <c:v>91.565819789531801</c:v>
              </c:pt>
              <c:pt idx="10">
                <c:v>95.314156627489325</c:v>
              </c:pt>
              <c:pt idx="11">
                <c:v>94.803021181324667</c:v>
              </c:pt>
              <c:pt idx="12">
                <c:v>92.918240212193197</c:v>
              </c:pt>
              <c:pt idx="13">
                <c:v>92.815143725484745</c:v>
              </c:pt>
              <c:pt idx="14">
                <c:v>94.874403661954275</c:v>
              </c:pt>
              <c:pt idx="15">
                <c:v>92.905120485430103</c:v>
              </c:pt>
              <c:pt idx="16">
                <c:v>91.081462440762039</c:v>
              </c:pt>
              <c:pt idx="17">
                <c:v>89.671554854898972</c:v>
              </c:pt>
              <c:pt idx="18">
                <c:v>87.979930454449502</c:v>
              </c:pt>
              <c:pt idx="19">
                <c:v>82.977410913155111</c:v>
              </c:pt>
              <c:pt idx="20">
                <c:v>81.0516767676108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24BF-4A46-9AB5-3F8110C7A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912192"/>
        <c:axId val="149910656"/>
      </c:scatterChart>
      <c:valAx>
        <c:axId val="149912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time</a:t>
                </a:r>
              </a:p>
            </c:rich>
          </c:tx>
          <c:layout>
            <c:manualLayout>
              <c:xMode val="edge"/>
              <c:yMode val="edge"/>
              <c:x val="0.52815412166118503"/>
              <c:y val="0.896984828115997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910656"/>
        <c:crosses val="autoZero"/>
        <c:crossBetween val="midCat"/>
      </c:valAx>
      <c:valAx>
        <c:axId val="149910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stock price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9121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Stock</a:t>
            </a:r>
            <a:r>
              <a:rPr lang="en-US" baseline="0"/>
              <a:t> Price Forecast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>
                  <a:shade val="41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'Stock Price Predictor'!$C$36:$C$56</c:f>
              <c:numCache>
                <c:formatCode>0.00</c:formatCode>
                <c:ptCount val="21"/>
                <c:pt idx="0">
                  <c:v>77</c:v>
                </c:pt>
                <c:pt idx="1">
                  <c:v>76.401040794911751</c:v>
                </c:pt>
                <c:pt idx="2">
                  <c:v>78.099550104795426</c:v>
                </c:pt>
                <c:pt idx="3">
                  <c:v>78.83116737599839</c:v>
                </c:pt>
                <c:pt idx="4">
                  <c:v>81.255209270278371</c:v>
                </c:pt>
                <c:pt idx="5">
                  <c:v>80.775086944439252</c:v>
                </c:pt>
                <c:pt idx="6">
                  <c:v>76.59358119106281</c:v>
                </c:pt>
                <c:pt idx="7">
                  <c:v>73.286708347342568</c:v>
                </c:pt>
                <c:pt idx="8">
                  <c:v>74.135722954586356</c:v>
                </c:pt>
                <c:pt idx="9">
                  <c:v>77.240131254790327</c:v>
                </c:pt>
                <c:pt idx="10">
                  <c:v>76.901727038724715</c:v>
                </c:pt>
                <c:pt idx="11">
                  <c:v>77.127015128805809</c:v>
                </c:pt>
                <c:pt idx="12">
                  <c:v>79.718630001588167</c:v>
                </c:pt>
                <c:pt idx="13">
                  <c:v>81.213008760411128</c:v>
                </c:pt>
                <c:pt idx="14">
                  <c:v>81.644397671095035</c:v>
                </c:pt>
                <c:pt idx="15">
                  <c:v>80.982425222250157</c:v>
                </c:pt>
                <c:pt idx="16">
                  <c:v>78.124056738190703</c:v>
                </c:pt>
                <c:pt idx="17">
                  <c:v>80.158276094652109</c:v>
                </c:pt>
                <c:pt idx="18">
                  <c:v>78.464573291030888</c:v>
                </c:pt>
                <c:pt idx="19">
                  <c:v>77.825894266422466</c:v>
                </c:pt>
                <c:pt idx="20">
                  <c:v>77.055663021446108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69-435B-8498-5B32D1459D87}"/>
            </c:ext>
          </c:extLst>
        </c:ser>
        <c:ser>
          <c:idx val="1"/>
          <c:order val="1"/>
          <c:spPr>
            <a:ln w="28575" cap="rnd">
              <a:solidFill>
                <a:schemeClr val="accent1">
                  <a:shade val="53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'Stock Price Predictor'!$D$36:$D$56</c:f>
              <c:numCache>
                <c:formatCode>0.00</c:formatCode>
                <c:ptCount val="21"/>
                <c:pt idx="0">
                  <c:v>77</c:v>
                </c:pt>
                <c:pt idx="1">
                  <c:v>76.562695191088736</c:v>
                </c:pt>
                <c:pt idx="2">
                  <c:v>75.112812928186528</c:v>
                </c:pt>
                <c:pt idx="3">
                  <c:v>72.259933985044086</c:v>
                </c:pt>
                <c:pt idx="4">
                  <c:v>72.674768736344959</c:v>
                </c:pt>
                <c:pt idx="5">
                  <c:v>72.477983411411955</c:v>
                </c:pt>
                <c:pt idx="6">
                  <c:v>73.445079874313578</c:v>
                </c:pt>
                <c:pt idx="7">
                  <c:v>76.250140156575966</c:v>
                </c:pt>
                <c:pt idx="8">
                  <c:v>76.056420920904728</c:v>
                </c:pt>
                <c:pt idx="9">
                  <c:v>76.536948064516992</c:v>
                </c:pt>
                <c:pt idx="10">
                  <c:v>77.335294388889125</c:v>
                </c:pt>
                <c:pt idx="11">
                  <c:v>78.289810906701149</c:v>
                </c:pt>
                <c:pt idx="12">
                  <c:v>77.437336301374685</c:v>
                </c:pt>
                <c:pt idx="13">
                  <c:v>75.474764047226088</c:v>
                </c:pt>
                <c:pt idx="14">
                  <c:v>75.355622015741147</c:v>
                </c:pt>
                <c:pt idx="15">
                  <c:v>72.641810399558466</c:v>
                </c:pt>
                <c:pt idx="16">
                  <c:v>76.641967906917159</c:v>
                </c:pt>
                <c:pt idx="17">
                  <c:v>73.484752091636452</c:v>
                </c:pt>
                <c:pt idx="18">
                  <c:v>74.678946253641286</c:v>
                </c:pt>
                <c:pt idx="19">
                  <c:v>73.933301970840489</c:v>
                </c:pt>
                <c:pt idx="20">
                  <c:v>73.227003777276451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69-435B-8498-5B32D1459D87}"/>
            </c:ext>
          </c:extLst>
        </c:ser>
        <c:ser>
          <c:idx val="2"/>
          <c:order val="2"/>
          <c:spPr>
            <a:ln w="28575" cap="rnd">
              <a:solidFill>
                <a:schemeClr val="accent1">
                  <a:shade val="6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'Stock Price Predictor'!$E$36:$E$56</c:f>
              <c:numCache>
                <c:formatCode>0.00</c:formatCode>
                <c:ptCount val="21"/>
                <c:pt idx="0">
                  <c:v>77</c:v>
                </c:pt>
                <c:pt idx="1">
                  <c:v>80.258901924017607</c:v>
                </c:pt>
                <c:pt idx="2">
                  <c:v>79.062496671995177</c:v>
                </c:pt>
                <c:pt idx="3">
                  <c:v>80.336979307060091</c:v>
                </c:pt>
                <c:pt idx="4">
                  <c:v>79.848488780665051</c:v>
                </c:pt>
                <c:pt idx="5">
                  <c:v>79.620762421113355</c:v>
                </c:pt>
                <c:pt idx="6">
                  <c:v>81.618951064452503</c:v>
                </c:pt>
                <c:pt idx="7">
                  <c:v>80.193665144019505</c:v>
                </c:pt>
                <c:pt idx="8">
                  <c:v>80.919167135906093</c:v>
                </c:pt>
                <c:pt idx="9">
                  <c:v>77.366016686326219</c:v>
                </c:pt>
                <c:pt idx="10">
                  <c:v>78.666079460216693</c:v>
                </c:pt>
                <c:pt idx="11">
                  <c:v>78.102698674850373</c:v>
                </c:pt>
                <c:pt idx="12">
                  <c:v>79.963128346540103</c:v>
                </c:pt>
                <c:pt idx="13">
                  <c:v>78.785946164438172</c:v>
                </c:pt>
                <c:pt idx="14">
                  <c:v>79.431569456069951</c:v>
                </c:pt>
                <c:pt idx="15">
                  <c:v>76.495517025212067</c:v>
                </c:pt>
                <c:pt idx="16">
                  <c:v>79.017724359911568</c:v>
                </c:pt>
                <c:pt idx="17">
                  <c:v>75.568349458619437</c:v>
                </c:pt>
                <c:pt idx="18">
                  <c:v>76.51754183001583</c:v>
                </c:pt>
                <c:pt idx="19">
                  <c:v>73.09212937781794</c:v>
                </c:pt>
                <c:pt idx="20">
                  <c:v>71.925262896793498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69-435B-8498-5B32D1459D87}"/>
            </c:ext>
          </c:extLst>
        </c:ser>
        <c:ser>
          <c:idx val="3"/>
          <c:order val="3"/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'Stock Price Predictor'!$F$36:$F$56</c:f>
              <c:numCache>
                <c:formatCode>0.00</c:formatCode>
                <c:ptCount val="21"/>
                <c:pt idx="0">
                  <c:v>77</c:v>
                </c:pt>
                <c:pt idx="1">
                  <c:v>77.649906285074096</c:v>
                </c:pt>
                <c:pt idx="2">
                  <c:v>78.201163320574977</c:v>
                </c:pt>
                <c:pt idx="3">
                  <c:v>75.982293864543536</c:v>
                </c:pt>
                <c:pt idx="4">
                  <c:v>75.563013147451841</c:v>
                </c:pt>
                <c:pt idx="5">
                  <c:v>74.159740494800886</c:v>
                </c:pt>
                <c:pt idx="6">
                  <c:v>75.279931992316378</c:v>
                </c:pt>
                <c:pt idx="7">
                  <c:v>73.070129899909986</c:v>
                </c:pt>
                <c:pt idx="8">
                  <c:v>72.989294229264189</c:v>
                </c:pt>
                <c:pt idx="9">
                  <c:v>72.406447457782917</c:v>
                </c:pt>
                <c:pt idx="10">
                  <c:v>71.187174824124838</c:v>
                </c:pt>
                <c:pt idx="11">
                  <c:v>73.242850984167546</c:v>
                </c:pt>
                <c:pt idx="12">
                  <c:v>76.482854582565949</c:v>
                </c:pt>
                <c:pt idx="13">
                  <c:v>75.51202685489443</c:v>
                </c:pt>
                <c:pt idx="14">
                  <c:v>78.352877981414423</c:v>
                </c:pt>
                <c:pt idx="15">
                  <c:v>80.38718092495435</c:v>
                </c:pt>
                <c:pt idx="16">
                  <c:v>75.653197924790348</c:v>
                </c:pt>
                <c:pt idx="17">
                  <c:v>74.277688659794052</c:v>
                </c:pt>
                <c:pt idx="18">
                  <c:v>72.1993984025072</c:v>
                </c:pt>
                <c:pt idx="19">
                  <c:v>73.423578091917989</c:v>
                </c:pt>
                <c:pt idx="20">
                  <c:v>72.962296438623639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69-435B-8498-5B32D1459D87}"/>
            </c:ext>
          </c:extLst>
        </c:ser>
        <c:ser>
          <c:idx val="4"/>
          <c:order val="4"/>
          <c:spPr>
            <a:ln w="28575" cap="rnd">
              <a:solidFill>
                <a:schemeClr val="accent1">
                  <a:shade val="88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'Stock Price Predictor'!$G$36:$G$56</c:f>
              <c:numCache>
                <c:formatCode>0.00</c:formatCode>
                <c:ptCount val="21"/>
                <c:pt idx="0">
                  <c:v>77</c:v>
                </c:pt>
                <c:pt idx="1">
                  <c:v>77.250164051900157</c:v>
                </c:pt>
                <c:pt idx="2">
                  <c:v>72.852930863628515</c:v>
                </c:pt>
                <c:pt idx="3">
                  <c:v>70.383150431569163</c:v>
                </c:pt>
                <c:pt idx="4">
                  <c:v>70.482358878160397</c:v>
                </c:pt>
                <c:pt idx="5">
                  <c:v>70.967667279747843</c:v>
                </c:pt>
                <c:pt idx="6">
                  <c:v>74.899411158571127</c:v>
                </c:pt>
                <c:pt idx="7">
                  <c:v>74.241215477155649</c:v>
                </c:pt>
                <c:pt idx="8">
                  <c:v>75.699843917577127</c:v>
                </c:pt>
                <c:pt idx="9">
                  <c:v>79.044216043579468</c:v>
                </c:pt>
                <c:pt idx="10">
                  <c:v>76.990921603932478</c:v>
                </c:pt>
                <c:pt idx="11">
                  <c:v>73.634969801767795</c:v>
                </c:pt>
                <c:pt idx="12">
                  <c:v>75.021256424914398</c:v>
                </c:pt>
                <c:pt idx="13">
                  <c:v>73.568141547314212</c:v>
                </c:pt>
                <c:pt idx="14">
                  <c:v>72.726738088335395</c:v>
                </c:pt>
                <c:pt idx="15">
                  <c:v>71.213415789500729</c:v>
                </c:pt>
                <c:pt idx="16">
                  <c:v>71.516630319068483</c:v>
                </c:pt>
                <c:pt idx="17">
                  <c:v>71.707902167241656</c:v>
                </c:pt>
                <c:pt idx="18">
                  <c:v>69.727527319069139</c:v>
                </c:pt>
                <c:pt idx="19">
                  <c:v>68.025524950534304</c:v>
                </c:pt>
                <c:pt idx="20">
                  <c:v>67.199912301077674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569-435B-8498-5B32D1459D87}"/>
            </c:ext>
          </c:extLst>
        </c:ser>
        <c:ser>
          <c:idx val="5"/>
          <c:order val="5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'Stock Price Predictor'!$H$36:$H$56</c:f>
              <c:numCache>
                <c:formatCode>0.00</c:formatCode>
                <c:ptCount val="21"/>
                <c:pt idx="0">
                  <c:v>77</c:v>
                </c:pt>
                <c:pt idx="1">
                  <c:v>75.986677955165675</c:v>
                </c:pt>
                <c:pt idx="2">
                  <c:v>79.192908461334127</c:v>
                </c:pt>
                <c:pt idx="3">
                  <c:v>81.133513474223278</c:v>
                </c:pt>
                <c:pt idx="4">
                  <c:v>81.169440843045265</c:v>
                </c:pt>
                <c:pt idx="5">
                  <c:v>81.793262275486171</c:v>
                </c:pt>
                <c:pt idx="6">
                  <c:v>82.805543956455864</c:v>
                </c:pt>
                <c:pt idx="7">
                  <c:v>87.283674072518522</c:v>
                </c:pt>
                <c:pt idx="8">
                  <c:v>92.640912674410686</c:v>
                </c:pt>
                <c:pt idx="9">
                  <c:v>91.129959639296317</c:v>
                </c:pt>
                <c:pt idx="10">
                  <c:v>88.956782172193883</c:v>
                </c:pt>
                <c:pt idx="11">
                  <c:v>90.430153804448196</c:v>
                </c:pt>
                <c:pt idx="12">
                  <c:v>90.942426838883222</c:v>
                </c:pt>
                <c:pt idx="13">
                  <c:v>92.010231070544478</c:v>
                </c:pt>
                <c:pt idx="14">
                  <c:v>90.881621697198412</c:v>
                </c:pt>
                <c:pt idx="15">
                  <c:v>88.725945850919913</c:v>
                </c:pt>
                <c:pt idx="16">
                  <c:v>88.954683157598353</c:v>
                </c:pt>
                <c:pt idx="17">
                  <c:v>90.727819432124576</c:v>
                </c:pt>
                <c:pt idx="18">
                  <c:v>91.841812806878082</c:v>
                </c:pt>
                <c:pt idx="19">
                  <c:v>95.738693040426327</c:v>
                </c:pt>
                <c:pt idx="20">
                  <c:v>98.82933610993112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569-435B-8498-5B32D1459D87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tint val="89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'Stock Price Predictor'!$I$36:$I$56</c:f>
              <c:numCache>
                <c:formatCode>0.00</c:formatCode>
                <c:ptCount val="21"/>
                <c:pt idx="0">
                  <c:v>77</c:v>
                </c:pt>
                <c:pt idx="1">
                  <c:v>80.366122723116092</c:v>
                </c:pt>
                <c:pt idx="2">
                  <c:v>82.588367178947237</c:v>
                </c:pt>
                <c:pt idx="3">
                  <c:v>83.38919259585883</c:v>
                </c:pt>
                <c:pt idx="4">
                  <c:v>81.932079161144713</c:v>
                </c:pt>
                <c:pt idx="5">
                  <c:v>79.448730931662823</c:v>
                </c:pt>
                <c:pt idx="6">
                  <c:v>82.009716711624236</c:v>
                </c:pt>
                <c:pt idx="7">
                  <c:v>83.893926450969715</c:v>
                </c:pt>
                <c:pt idx="8">
                  <c:v>83.834925586322981</c:v>
                </c:pt>
                <c:pt idx="9">
                  <c:v>88.226919656174459</c:v>
                </c:pt>
                <c:pt idx="10">
                  <c:v>89.112593237559423</c:v>
                </c:pt>
                <c:pt idx="11">
                  <c:v>91.933950150181019</c:v>
                </c:pt>
                <c:pt idx="12">
                  <c:v>93.972615553280477</c:v>
                </c:pt>
                <c:pt idx="13">
                  <c:v>90.863509285361388</c:v>
                </c:pt>
                <c:pt idx="14">
                  <c:v>93.847086767686775</c:v>
                </c:pt>
                <c:pt idx="15">
                  <c:v>96.324473924479278</c:v>
                </c:pt>
                <c:pt idx="16">
                  <c:v>91.903142119160719</c:v>
                </c:pt>
                <c:pt idx="17">
                  <c:v>93.662133070125805</c:v>
                </c:pt>
                <c:pt idx="18">
                  <c:v>94.870925101260994</c:v>
                </c:pt>
                <c:pt idx="19">
                  <c:v>97.803253613686522</c:v>
                </c:pt>
                <c:pt idx="20">
                  <c:v>99.105702961181294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569-435B-8498-5B32D1459D87}"/>
            </c:ext>
          </c:extLst>
        </c:ser>
        <c:ser>
          <c:idx val="7"/>
          <c:order val="7"/>
          <c:spPr>
            <a:ln w="28575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'Stock Price Predictor'!$J$36:$J$56</c:f>
              <c:numCache>
                <c:formatCode>0.00</c:formatCode>
                <c:ptCount val="21"/>
                <c:pt idx="0">
                  <c:v>77</c:v>
                </c:pt>
                <c:pt idx="1">
                  <c:v>75.468746864684903</c:v>
                </c:pt>
                <c:pt idx="2">
                  <c:v>74.177948381133731</c:v>
                </c:pt>
                <c:pt idx="3">
                  <c:v>75.426611848760459</c:v>
                </c:pt>
                <c:pt idx="4">
                  <c:v>77.793556532725319</c:v>
                </c:pt>
                <c:pt idx="5">
                  <c:v>76.80360926097849</c:v>
                </c:pt>
                <c:pt idx="6">
                  <c:v>79.14816497191498</c:v>
                </c:pt>
                <c:pt idx="7">
                  <c:v>80.157563158451126</c:v>
                </c:pt>
                <c:pt idx="8">
                  <c:v>81.515795163585935</c:v>
                </c:pt>
                <c:pt idx="9">
                  <c:v>80.008633576008563</c:v>
                </c:pt>
                <c:pt idx="10">
                  <c:v>76.869552272794394</c:v>
                </c:pt>
                <c:pt idx="11">
                  <c:v>78.998012153615662</c:v>
                </c:pt>
                <c:pt idx="12">
                  <c:v>76.886630897975095</c:v>
                </c:pt>
                <c:pt idx="13">
                  <c:v>77.319875019972599</c:v>
                </c:pt>
                <c:pt idx="14">
                  <c:v>78.118489875045356</c:v>
                </c:pt>
                <c:pt idx="15">
                  <c:v>80.174622658904994</c:v>
                </c:pt>
                <c:pt idx="16">
                  <c:v>79.544595319055531</c:v>
                </c:pt>
                <c:pt idx="17">
                  <c:v>82.144011890888066</c:v>
                </c:pt>
                <c:pt idx="18">
                  <c:v>83.493729366784649</c:v>
                </c:pt>
                <c:pt idx="19">
                  <c:v>84.9365937618267</c:v>
                </c:pt>
                <c:pt idx="20">
                  <c:v>89.2118722046839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569-435B-8498-5B32D1459D87}"/>
            </c:ext>
          </c:extLst>
        </c:ser>
        <c:ser>
          <c:idx val="8"/>
          <c:order val="8"/>
          <c:spPr>
            <a:ln w="28575" cap="rnd">
              <a:solidFill>
                <a:schemeClr val="accent1">
                  <a:tint val="6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'Stock Price Predictor'!$K$36:$K$56</c:f>
              <c:numCache>
                <c:formatCode>0.00</c:formatCode>
                <c:ptCount val="21"/>
                <c:pt idx="0">
                  <c:v>77</c:v>
                </c:pt>
                <c:pt idx="1">
                  <c:v>77.789258693500457</c:v>
                </c:pt>
                <c:pt idx="2">
                  <c:v>76.340042262837912</c:v>
                </c:pt>
                <c:pt idx="3">
                  <c:v>74.221630389715585</c:v>
                </c:pt>
                <c:pt idx="4">
                  <c:v>77.284085748012458</c:v>
                </c:pt>
                <c:pt idx="5">
                  <c:v>75.807312661844009</c:v>
                </c:pt>
                <c:pt idx="6">
                  <c:v>75.488470094299984</c:v>
                </c:pt>
                <c:pt idx="7">
                  <c:v>76.337214824119869</c:v>
                </c:pt>
                <c:pt idx="8">
                  <c:v>80.38218952974151</c:v>
                </c:pt>
                <c:pt idx="9">
                  <c:v>79.157952125821694</c:v>
                </c:pt>
                <c:pt idx="10">
                  <c:v>80.394882169246571</c:v>
                </c:pt>
                <c:pt idx="11">
                  <c:v>81.578989020119252</c:v>
                </c:pt>
                <c:pt idx="12">
                  <c:v>83.608797021909467</c:v>
                </c:pt>
                <c:pt idx="13">
                  <c:v>82.99965787932841</c:v>
                </c:pt>
                <c:pt idx="14">
                  <c:v>81.872739040807701</c:v>
                </c:pt>
                <c:pt idx="15">
                  <c:v>80.762078378918289</c:v>
                </c:pt>
                <c:pt idx="16">
                  <c:v>84.937500296122536</c:v>
                </c:pt>
                <c:pt idx="17">
                  <c:v>80.802901064656524</c:v>
                </c:pt>
                <c:pt idx="18">
                  <c:v>81.650698119519888</c:v>
                </c:pt>
                <c:pt idx="19">
                  <c:v>82.434959366451736</c:v>
                </c:pt>
                <c:pt idx="20">
                  <c:v>86.107839637544345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569-435B-8498-5B32D1459D87}"/>
            </c:ext>
          </c:extLst>
        </c:ser>
        <c:ser>
          <c:idx val="9"/>
          <c:order val="9"/>
          <c:spPr>
            <a:ln w="28575" cap="rnd">
              <a:solidFill>
                <a:schemeClr val="accent1">
                  <a:tint val="54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'Stock Price Predictor'!$L$36:$L$56</c:f>
              <c:numCache>
                <c:formatCode>0.00</c:formatCode>
                <c:ptCount val="21"/>
                <c:pt idx="0">
                  <c:v>77</c:v>
                </c:pt>
                <c:pt idx="1">
                  <c:v>79.47393565790756</c:v>
                </c:pt>
                <c:pt idx="2">
                  <c:v>78.972179940768712</c:v>
                </c:pt>
                <c:pt idx="3">
                  <c:v>75.525985951830975</c:v>
                </c:pt>
                <c:pt idx="4">
                  <c:v>78.183827035734851</c:v>
                </c:pt>
                <c:pt idx="5">
                  <c:v>80.516863378867328</c:v>
                </c:pt>
                <c:pt idx="6">
                  <c:v>80.752575858225697</c:v>
                </c:pt>
                <c:pt idx="7">
                  <c:v>79.392839428538608</c:v>
                </c:pt>
                <c:pt idx="8">
                  <c:v>79.128680243047484</c:v>
                </c:pt>
                <c:pt idx="9">
                  <c:v>80.040369523010526</c:v>
                </c:pt>
                <c:pt idx="10">
                  <c:v>77.663463055467034</c:v>
                </c:pt>
                <c:pt idx="11">
                  <c:v>74.973747408835266</c:v>
                </c:pt>
                <c:pt idx="12">
                  <c:v>72.364617986395018</c:v>
                </c:pt>
                <c:pt idx="13">
                  <c:v>71.515482711401134</c:v>
                </c:pt>
                <c:pt idx="14">
                  <c:v>72.995846350201475</c:v>
                </c:pt>
                <c:pt idx="15">
                  <c:v>71.727783770538082</c:v>
                </c:pt>
                <c:pt idx="16">
                  <c:v>71.595978383411861</c:v>
                </c:pt>
                <c:pt idx="17">
                  <c:v>74.566507492609119</c:v>
                </c:pt>
                <c:pt idx="18">
                  <c:v>74.124783924421976</c:v>
                </c:pt>
                <c:pt idx="19">
                  <c:v>73.658661824151423</c:v>
                </c:pt>
                <c:pt idx="20">
                  <c:v>74.796282605112467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569-435B-8498-5B32D1459D87}"/>
            </c:ext>
          </c:extLst>
        </c:ser>
        <c:ser>
          <c:idx val="10"/>
          <c:order val="10"/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'Stock Price Predictor'!$M$36:$M$56</c:f>
              <c:numCache>
                <c:formatCode>0.00</c:formatCode>
                <c:ptCount val="21"/>
                <c:pt idx="0">
                  <c:v>77</c:v>
                </c:pt>
                <c:pt idx="1">
                  <c:v>77.720745014136696</c:v>
                </c:pt>
                <c:pt idx="2">
                  <c:v>77.460040011420233</c:v>
                </c:pt>
                <c:pt idx="3">
                  <c:v>76.749045922460439</c:v>
                </c:pt>
                <c:pt idx="4">
                  <c:v>77.61868281335633</c:v>
                </c:pt>
                <c:pt idx="5">
                  <c:v>77.237101906035207</c:v>
                </c:pt>
                <c:pt idx="6">
                  <c:v>78.20414268732371</c:v>
                </c:pt>
                <c:pt idx="7">
                  <c:v>78.410707695960156</c:v>
                </c:pt>
                <c:pt idx="8">
                  <c:v>79.730295235534712</c:v>
                </c:pt>
                <c:pt idx="9">
                  <c:v>80.11575940273076</c:v>
                </c:pt>
                <c:pt idx="10">
                  <c:v>79.407847022314911</c:v>
                </c:pt>
                <c:pt idx="11">
                  <c:v>79.831219803349214</c:v>
                </c:pt>
                <c:pt idx="12">
                  <c:v>80.639829395542648</c:v>
                </c:pt>
                <c:pt idx="13">
                  <c:v>79.926264334089211</c:v>
                </c:pt>
                <c:pt idx="14">
                  <c:v>80.522698894359564</c:v>
                </c:pt>
                <c:pt idx="15">
                  <c:v>79.943525394523633</c:v>
                </c:pt>
                <c:pt idx="16">
                  <c:v>79.788947652422721</c:v>
                </c:pt>
                <c:pt idx="17">
                  <c:v>79.71003414223479</c:v>
                </c:pt>
                <c:pt idx="18">
                  <c:v>79.756993641512992</c:v>
                </c:pt>
                <c:pt idx="19">
                  <c:v>80.08725902640758</c:v>
                </c:pt>
                <c:pt idx="20">
                  <c:v>81.042117195367041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569-435B-8498-5B32D1459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7415984"/>
        <c:axId val="1255500064"/>
      </c:lineChart>
      <c:catAx>
        <c:axId val="17674159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5500064"/>
        <c:crosses val="autoZero"/>
        <c:auto val="1"/>
        <c:lblAlgn val="ctr"/>
        <c:lblOffset val="100"/>
        <c:noMultiLvlLbl val="0"/>
      </c:catAx>
      <c:valAx>
        <c:axId val="1255500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7415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105</c:v>
          </c:tx>
          <c:marker>
            <c:symbol val="none"/>
          </c:marker>
          <c:xVal>
            <c:numRef>
              <c:f>'Spend Tables'!#REF!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Lit>
              <c:formatCode>General</c:formatCode>
              <c:ptCount val="16"/>
              <c:pt idx="0">
                <c:v>106</c:v>
              </c:pt>
              <c:pt idx="1">
                <c:v>107</c:v>
              </c:pt>
              <c:pt idx="2">
                <c:v>108</c:v>
              </c:pt>
              <c:pt idx="3">
                <c:v>109</c:v>
              </c:pt>
              <c:pt idx="4">
                <c:v>110</c:v>
              </c:pt>
              <c:pt idx="5">
                <c:v>111</c:v>
              </c:pt>
              <c:pt idx="6">
                <c:v>112</c:v>
              </c:pt>
              <c:pt idx="7">
                <c:v>113</c:v>
              </c:pt>
              <c:pt idx="8">
                <c:v>114</c:v>
              </c:pt>
              <c:pt idx="9">
                <c:v>115</c:v>
              </c:pt>
              <c:pt idx="10">
                <c:v>116</c:v>
              </c:pt>
              <c:pt idx="11">
                <c:v>117</c:v>
              </c:pt>
              <c:pt idx="12">
                <c:v>118</c:v>
              </c:pt>
              <c:pt idx="13">
                <c:v>119</c:v>
              </c:pt>
              <c:pt idx="14">
                <c:v>120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462B-4049-9BE9-40C9F6D0A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804367"/>
        <c:axId val="1"/>
      </c:scatterChart>
      <c:valAx>
        <c:axId val="31804367"/>
        <c:scaling>
          <c:orientation val="minMax"/>
          <c:max val="160"/>
          <c:min val="40"/>
        </c:scaling>
        <c:delete val="0"/>
        <c:axPos val="b"/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Stock price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1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Call value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804367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14.14148561</c:v>
          </c:tx>
          <c:marker>
            <c:symbol val="none"/>
          </c:marker>
          <c:xVal>
            <c:numRef>
              <c:f>'Spend Tables'!#REF!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Lit>
              <c:formatCode>General</c:formatCode>
              <c:ptCount val="16"/>
              <c:pt idx="0">
                <c:v>14.85488092140578</c:v>
              </c:pt>
              <c:pt idx="1">
                <c:v>15.582923238037672</c:v>
              </c:pt>
              <c:pt idx="2">
                <c:v>16.325098909376905</c:v>
              </c:pt>
              <c:pt idx="3">
                <c:v>17.080891550541082</c:v>
              </c:pt>
              <c:pt idx="4">
                <c:v>17.849784273964744</c:v>
              </c:pt>
              <c:pt idx="5">
                <c:v>18.631261753467996</c:v>
              </c:pt>
              <c:pt idx="6">
                <c:v>19.424812118215783</c:v>
              </c:pt>
              <c:pt idx="7">
                <c:v>20.229928677064891</c:v>
              </c:pt>
              <c:pt idx="8">
                <c:v>21.046111475430692</c:v>
              </c:pt>
              <c:pt idx="9">
                <c:v>21.872868688224401</c:v>
              </c:pt>
              <c:pt idx="10">
                <c:v>22.70971785362137</c:v>
              </c:pt>
              <c:pt idx="11">
                <c:v>23.556186953433198</c:v>
              </c:pt>
              <c:pt idx="12">
                <c:v>24.411815346682232</c:v>
              </c:pt>
              <c:pt idx="13">
                <c:v>25.276154563630115</c:v>
              </c:pt>
              <c:pt idx="14">
                <c:v>26.148768968005328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48FA-4E0C-8A49-97E3356C7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9688688"/>
        <c:axId val="1"/>
      </c:scatterChart>
      <c:valAx>
        <c:axId val="1769688688"/>
        <c:scaling>
          <c:orientation val="minMax"/>
          <c:max val="160"/>
          <c:min val="40"/>
        </c:scaling>
        <c:delete val="0"/>
        <c:axPos val="b"/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Stock price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1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Delta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968868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8.960665892</c:v>
          </c:tx>
          <c:marker>
            <c:symbol val="none"/>
          </c:marker>
          <c:xVal>
            <c:numRef>
              <c:f>#REF!#REF!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Lit>
              <c:formatCode>General</c:formatCode>
              <c:ptCount val="16"/>
              <c:pt idx="0">
                <c:v>9.6899501967981365</c:v>
              </c:pt>
              <c:pt idx="1">
                <c:v>10.443627597474503</c:v>
              </c:pt>
              <c:pt idx="2">
                <c:v>11.220257513058982</c:v>
              </c:pt>
              <c:pt idx="3">
                <c:v>12.018376827434565</c:v>
              </c:pt>
              <c:pt idx="4">
                <c:v>12.836518302455701</c:v>
              </c:pt>
              <c:pt idx="5">
                <c:v>13.673227142029035</c:v>
              </c:pt>
              <c:pt idx="6">
                <c:v>14.527075561835446</c:v>
              </c:pt>
              <c:pt idx="7">
                <c:v>15.396675292819438</c:v>
              </c:pt>
              <c:pt idx="8">
                <c:v>16.280688011744857</c:v>
              </c:pt>
              <c:pt idx="9">
                <c:v>17.177833747786053</c:v>
              </c:pt>
              <c:pt idx="10">
                <c:v>18.086897359774014</c:v>
              </c:pt>
              <c:pt idx="11">
                <c:v>19.006733214347207</c:v>
              </c:pt>
              <c:pt idx="12">
                <c:v>19.936268221271717</c:v>
              </c:pt>
              <c:pt idx="13">
                <c:v>20.874503399324823</c:v>
              </c:pt>
              <c:pt idx="14">
                <c:v>21.820514155324176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8CCD-49A7-9266-0AF77E913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9689520"/>
        <c:axId val="1"/>
      </c:scatterChart>
      <c:valAx>
        <c:axId val="1769689520"/>
        <c:scaling>
          <c:orientation val="minMax"/>
          <c:max val="160"/>
          <c:min val="40"/>
        </c:scaling>
        <c:delete val="0"/>
        <c:axPos val="b"/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Stock price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1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Put value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968952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0936420631833"/>
          <c:y val="6.5326633165829151E-2"/>
          <c:w val="0.76798628595917928"/>
          <c:h val="0.75376884422110557"/>
        </c:manualLayout>
      </c:layout>
      <c:scatterChart>
        <c:scatterStyle val="smoothMarker"/>
        <c:varyColors val="0"/>
        <c:ser>
          <c:idx val="0"/>
          <c:order val="0"/>
          <c:tx>
            <c:v>Call A</c:v>
          </c:tx>
          <c:marker>
            <c:symbol val="none"/>
          </c:marker>
          <c:xVal>
            <c:numLit>
              <c:formatCode>General</c:formatCode>
              <c:ptCount val="41"/>
              <c:pt idx="0">
                <c:v>80</c:v>
              </c:pt>
              <c:pt idx="1">
                <c:v>81</c:v>
              </c:pt>
              <c:pt idx="2">
                <c:v>82</c:v>
              </c:pt>
              <c:pt idx="3">
                <c:v>83</c:v>
              </c:pt>
              <c:pt idx="4">
                <c:v>84</c:v>
              </c:pt>
              <c:pt idx="5">
                <c:v>85</c:v>
              </c:pt>
              <c:pt idx="6">
                <c:v>86</c:v>
              </c:pt>
              <c:pt idx="7">
                <c:v>87</c:v>
              </c:pt>
              <c:pt idx="8">
                <c:v>88</c:v>
              </c:pt>
              <c:pt idx="9">
                <c:v>89</c:v>
              </c:pt>
              <c:pt idx="10">
                <c:v>90</c:v>
              </c:pt>
              <c:pt idx="11">
                <c:v>91</c:v>
              </c:pt>
              <c:pt idx="12">
                <c:v>92</c:v>
              </c:pt>
              <c:pt idx="13">
                <c:v>93</c:v>
              </c:pt>
              <c:pt idx="14">
                <c:v>94</c:v>
              </c:pt>
              <c:pt idx="15">
                <c:v>95</c:v>
              </c:pt>
              <c:pt idx="16">
                <c:v>96</c:v>
              </c:pt>
              <c:pt idx="17">
                <c:v>97</c:v>
              </c:pt>
              <c:pt idx="18">
                <c:v>98</c:v>
              </c:pt>
              <c:pt idx="19">
                <c:v>99</c:v>
              </c:pt>
              <c:pt idx="20">
                <c:v>100</c:v>
              </c:pt>
              <c:pt idx="21">
                <c:v>101</c:v>
              </c:pt>
              <c:pt idx="22">
                <c:v>102</c:v>
              </c:pt>
              <c:pt idx="23">
                <c:v>103</c:v>
              </c:pt>
              <c:pt idx="24">
                <c:v>104</c:v>
              </c:pt>
              <c:pt idx="25">
                <c:v>105</c:v>
              </c:pt>
              <c:pt idx="26">
                <c:v>106</c:v>
              </c:pt>
              <c:pt idx="27">
                <c:v>107</c:v>
              </c:pt>
              <c:pt idx="28">
                <c:v>108</c:v>
              </c:pt>
              <c:pt idx="29">
                <c:v>109</c:v>
              </c:pt>
              <c:pt idx="30">
                <c:v>110</c:v>
              </c:pt>
              <c:pt idx="31">
                <c:v>111</c:v>
              </c:pt>
              <c:pt idx="32">
                <c:v>112</c:v>
              </c:pt>
              <c:pt idx="33">
                <c:v>113</c:v>
              </c:pt>
              <c:pt idx="34">
                <c:v>114</c:v>
              </c:pt>
              <c:pt idx="35">
                <c:v>115</c:v>
              </c:pt>
              <c:pt idx="36">
                <c:v>116</c:v>
              </c:pt>
              <c:pt idx="37">
                <c:v>117</c:v>
              </c:pt>
              <c:pt idx="38">
                <c:v>118</c:v>
              </c:pt>
              <c:pt idx="39">
                <c:v>119</c:v>
              </c:pt>
              <c:pt idx="40">
                <c:v>120</c:v>
              </c:pt>
            </c:numLit>
          </c:xVal>
          <c:yVal>
            <c:numLit>
              <c:formatCode>General</c:formatCode>
              <c:ptCount val="41"/>
              <c:pt idx="0">
                <c:v>-8.6333618830880603</c:v>
              </c:pt>
              <c:pt idx="1">
                <c:v>-8.3869153347461882</c:v>
              </c:pt>
              <c:pt idx="2">
                <c:v>-8.1221428670101297</c:v>
              </c:pt>
              <c:pt idx="3">
                <c:v>-7.8386112494236144</c:v>
              </c:pt>
              <c:pt idx="4">
                <c:v>-7.5359428573408387</c:v>
              </c:pt>
              <c:pt idx="5">
                <c:v>-7.213817078780135</c:v>
              </c:pt>
              <c:pt idx="6">
                <c:v>-6.8719711508737618</c:v>
              </c:pt>
              <c:pt idx="7">
                <c:v>-6.5102004462138012</c:v>
              </c:pt>
              <c:pt idx="8">
                <c:v>-6.1283582363308291</c:v>
              </c:pt>
              <c:pt idx="9">
                <c:v>-5.7263549653651964</c:v>
              </c:pt>
              <c:pt idx="10">
                <c:v>-5.3041570716931048</c:v>
              </c:pt>
              <c:pt idx="11">
                <c:v>-4.8617853988730744</c:v>
              </c:pt>
              <c:pt idx="12">
                <c:v>-4.3993132398274497</c:v>
              </c:pt>
              <c:pt idx="13">
                <c:v>-3.9168640597334345</c:v>
              </c:pt>
              <c:pt idx="14">
                <c:v>-3.4146089437472824</c:v>
              </c:pt>
              <c:pt idx="15">
                <c:v>-2.8927638155140798</c:v>
              </c:pt>
              <c:pt idx="16">
                <c:v>-2.3515864715198944</c:v>
              </c:pt>
              <c:pt idx="17">
                <c:v>-1.7913734748239207</c:v>
              </c:pt>
              <c:pt idx="18">
                <c:v>-1.2124569496654516</c:v>
              </c:pt>
              <c:pt idx="19">
                <c:v>-0.61520131597235661</c:v>
              </c:pt>
              <c:pt idx="20">
                <c:v>0</c:v>
              </c:pt>
              <c:pt idx="21">
                <c:v>0.63272784571124419</c:v>
              </c:pt>
              <c:pt idx="22">
                <c:v>1.2825405830725103</c:v>
              </c:pt>
              <c:pt idx="23">
                <c:v>1.9489772631755287</c:v>
              </c:pt>
              <c:pt idx="24">
                <c:v>2.6315607116215531</c:v>
              </c:pt>
              <c:pt idx="25">
                <c:v>3.3298005043272525</c:v>
              </c:pt>
              <c:pt idx="26">
                <c:v>4.0431958168710835</c:v>
              </c:pt>
              <c:pt idx="27">
                <c:v>4.7712381335029761</c:v>
              </c:pt>
              <c:pt idx="28">
                <c:v>5.5134138048422088</c:v>
              </c:pt>
              <c:pt idx="29">
                <c:v>6.2692064460063861</c:v>
              </c:pt>
              <c:pt idx="30">
                <c:v>7.0380991694300477</c:v>
              </c:pt>
              <c:pt idx="31">
                <c:v>7.8195766489332996</c:v>
              </c:pt>
              <c:pt idx="32">
                <c:v>8.6131270136810869</c:v>
              </c:pt>
              <c:pt idx="33">
                <c:v>9.4182435725301943</c:v>
              </c:pt>
              <c:pt idx="34">
                <c:v>10.234426370895996</c:v>
              </c:pt>
              <c:pt idx="35">
                <c:v>11.061183583689704</c:v>
              </c:pt>
              <c:pt idx="36">
                <c:v>11.898032749086674</c:v>
              </c:pt>
              <c:pt idx="37">
                <c:v>12.744501848898501</c:v>
              </c:pt>
              <c:pt idx="38">
                <c:v>13.600130242147536</c:v>
              </c:pt>
              <c:pt idx="39">
                <c:v>14.464469459095419</c:v>
              </c:pt>
              <c:pt idx="40">
                <c:v>15.337083863470632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931B-4CAA-A8FC-AB5F4B0A9AFB}"/>
            </c:ext>
          </c:extLst>
        </c:ser>
        <c:ser>
          <c:idx val="1"/>
          <c:order val="1"/>
          <c:tx>
            <c:v>D match</c:v>
          </c:tx>
          <c:marker>
            <c:symbol val="none"/>
          </c:marker>
          <c:xVal>
            <c:numLit>
              <c:formatCode>General</c:formatCode>
              <c:ptCount val="41"/>
              <c:pt idx="0">
                <c:v>80</c:v>
              </c:pt>
              <c:pt idx="1">
                <c:v>81</c:v>
              </c:pt>
              <c:pt idx="2">
                <c:v>82</c:v>
              </c:pt>
              <c:pt idx="3">
                <c:v>83</c:v>
              </c:pt>
              <c:pt idx="4">
                <c:v>84</c:v>
              </c:pt>
              <c:pt idx="5">
                <c:v>85</c:v>
              </c:pt>
              <c:pt idx="6">
                <c:v>86</c:v>
              </c:pt>
              <c:pt idx="7">
                <c:v>87</c:v>
              </c:pt>
              <c:pt idx="8">
                <c:v>88</c:v>
              </c:pt>
              <c:pt idx="9">
                <c:v>89</c:v>
              </c:pt>
              <c:pt idx="10">
                <c:v>90</c:v>
              </c:pt>
              <c:pt idx="11">
                <c:v>91</c:v>
              </c:pt>
              <c:pt idx="12">
                <c:v>92</c:v>
              </c:pt>
              <c:pt idx="13">
                <c:v>93</c:v>
              </c:pt>
              <c:pt idx="14">
                <c:v>94</c:v>
              </c:pt>
              <c:pt idx="15">
                <c:v>95</c:v>
              </c:pt>
              <c:pt idx="16">
                <c:v>96</c:v>
              </c:pt>
              <c:pt idx="17">
                <c:v>97</c:v>
              </c:pt>
              <c:pt idx="18">
                <c:v>98</c:v>
              </c:pt>
              <c:pt idx="19">
                <c:v>99</c:v>
              </c:pt>
              <c:pt idx="20">
                <c:v>100</c:v>
              </c:pt>
              <c:pt idx="21">
                <c:v>101</c:v>
              </c:pt>
              <c:pt idx="22">
                <c:v>102</c:v>
              </c:pt>
              <c:pt idx="23">
                <c:v>103</c:v>
              </c:pt>
              <c:pt idx="24">
                <c:v>104</c:v>
              </c:pt>
              <c:pt idx="25">
                <c:v>105</c:v>
              </c:pt>
              <c:pt idx="26">
                <c:v>106</c:v>
              </c:pt>
              <c:pt idx="27">
                <c:v>107</c:v>
              </c:pt>
              <c:pt idx="28">
                <c:v>108</c:v>
              </c:pt>
              <c:pt idx="29">
                <c:v>109</c:v>
              </c:pt>
              <c:pt idx="30">
                <c:v>110</c:v>
              </c:pt>
              <c:pt idx="31">
                <c:v>111</c:v>
              </c:pt>
              <c:pt idx="32">
                <c:v>112</c:v>
              </c:pt>
              <c:pt idx="33">
                <c:v>113</c:v>
              </c:pt>
              <c:pt idx="34">
                <c:v>114</c:v>
              </c:pt>
              <c:pt idx="35">
                <c:v>115</c:v>
              </c:pt>
              <c:pt idx="36">
                <c:v>116</c:v>
              </c:pt>
              <c:pt idx="37">
                <c:v>117</c:v>
              </c:pt>
              <c:pt idx="38">
                <c:v>118</c:v>
              </c:pt>
              <c:pt idx="39">
                <c:v>119</c:v>
              </c:pt>
              <c:pt idx="40">
                <c:v>120</c:v>
              </c:pt>
            </c:numLit>
          </c:xVal>
          <c:yVal>
            <c:numLit>
              <c:formatCode>General</c:formatCode>
              <c:ptCount val="41"/>
              <c:pt idx="0">
                <c:v>-12.480728409951141</c:v>
              </c:pt>
              <c:pt idx="1">
                <c:v>-11.856691989453584</c:v>
              </c:pt>
              <c:pt idx="2">
                <c:v>-11.232655568956027</c:v>
              </c:pt>
              <c:pt idx="3">
                <c:v>-10.60861914845847</c:v>
              </c:pt>
              <c:pt idx="4">
                <c:v>-9.9845827279609125</c:v>
              </c:pt>
              <c:pt idx="5">
                <c:v>-9.3605463074633555</c:v>
              </c:pt>
              <c:pt idx="6">
                <c:v>-8.7365098869657984</c:v>
              </c:pt>
              <c:pt idx="7">
                <c:v>-8.1124734664682414</c:v>
              </c:pt>
              <c:pt idx="8">
                <c:v>-7.4884370459706844</c:v>
              </c:pt>
              <c:pt idx="9">
                <c:v>-6.8644006254731273</c:v>
              </c:pt>
              <c:pt idx="10">
                <c:v>-6.2403642049755703</c:v>
              </c:pt>
              <c:pt idx="11">
                <c:v>-5.6163277844780133</c:v>
              </c:pt>
              <c:pt idx="12">
                <c:v>-4.9922913639804563</c:v>
              </c:pt>
              <c:pt idx="13">
                <c:v>-4.3682549434828992</c:v>
              </c:pt>
              <c:pt idx="14">
                <c:v>-3.7442185229853422</c:v>
              </c:pt>
              <c:pt idx="15">
                <c:v>-3.1201821024877852</c:v>
              </c:pt>
              <c:pt idx="16">
                <c:v>-2.4961456819902281</c:v>
              </c:pt>
              <c:pt idx="17">
                <c:v>-1.8721092614926711</c:v>
              </c:pt>
              <c:pt idx="18">
                <c:v>-1.2480728409951141</c:v>
              </c:pt>
              <c:pt idx="19">
                <c:v>-0.62403642049755703</c:v>
              </c:pt>
              <c:pt idx="20">
                <c:v>0</c:v>
              </c:pt>
              <c:pt idx="21">
                <c:v>0.62403642049755703</c:v>
              </c:pt>
              <c:pt idx="22">
                <c:v>1.2480728409951141</c:v>
              </c:pt>
              <c:pt idx="23">
                <c:v>1.8721092614926711</c:v>
              </c:pt>
              <c:pt idx="24">
                <c:v>2.4961456819902281</c:v>
              </c:pt>
              <c:pt idx="25">
                <c:v>3.1201821024877852</c:v>
              </c:pt>
              <c:pt idx="26">
                <c:v>3.7442185229853422</c:v>
              </c:pt>
              <c:pt idx="27">
                <c:v>4.3682549434828992</c:v>
              </c:pt>
              <c:pt idx="28">
                <c:v>4.9922913639804563</c:v>
              </c:pt>
              <c:pt idx="29">
                <c:v>5.6163277844780133</c:v>
              </c:pt>
              <c:pt idx="30">
                <c:v>6.2403642049755703</c:v>
              </c:pt>
              <c:pt idx="31">
                <c:v>6.8644006254731273</c:v>
              </c:pt>
              <c:pt idx="32">
                <c:v>7.4884370459706844</c:v>
              </c:pt>
              <c:pt idx="33">
                <c:v>8.1124734664682414</c:v>
              </c:pt>
              <c:pt idx="34">
                <c:v>8.7365098869657984</c:v>
              </c:pt>
              <c:pt idx="35">
                <c:v>9.3605463074633555</c:v>
              </c:pt>
              <c:pt idx="36">
                <c:v>9.9845827279609125</c:v>
              </c:pt>
              <c:pt idx="37">
                <c:v>10.60861914845847</c:v>
              </c:pt>
              <c:pt idx="38">
                <c:v>11.232655568956027</c:v>
              </c:pt>
              <c:pt idx="39">
                <c:v>11.856691989453584</c:v>
              </c:pt>
              <c:pt idx="40">
                <c:v>12.480728409951141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1-931B-4CAA-A8FC-AB5F4B0A9AFB}"/>
            </c:ext>
          </c:extLst>
        </c:ser>
        <c:ser>
          <c:idx val="2"/>
          <c:order val="2"/>
          <c:tx>
            <c:v>D &amp; G  match</c:v>
          </c:tx>
          <c:marker>
            <c:symbol val="none"/>
          </c:marker>
          <c:xVal>
            <c:numLit>
              <c:formatCode>General</c:formatCode>
              <c:ptCount val="41"/>
              <c:pt idx="0">
                <c:v>80</c:v>
              </c:pt>
              <c:pt idx="1">
                <c:v>81</c:v>
              </c:pt>
              <c:pt idx="2">
                <c:v>82</c:v>
              </c:pt>
              <c:pt idx="3">
                <c:v>83</c:v>
              </c:pt>
              <c:pt idx="4">
                <c:v>84</c:v>
              </c:pt>
              <c:pt idx="5">
                <c:v>85</c:v>
              </c:pt>
              <c:pt idx="6">
                <c:v>86</c:v>
              </c:pt>
              <c:pt idx="7">
                <c:v>87</c:v>
              </c:pt>
              <c:pt idx="8">
                <c:v>88</c:v>
              </c:pt>
              <c:pt idx="9">
                <c:v>89</c:v>
              </c:pt>
              <c:pt idx="10">
                <c:v>90</c:v>
              </c:pt>
              <c:pt idx="11">
                <c:v>91</c:v>
              </c:pt>
              <c:pt idx="12">
                <c:v>92</c:v>
              </c:pt>
              <c:pt idx="13">
                <c:v>93</c:v>
              </c:pt>
              <c:pt idx="14">
                <c:v>94</c:v>
              </c:pt>
              <c:pt idx="15">
                <c:v>95</c:v>
              </c:pt>
              <c:pt idx="16">
                <c:v>96</c:v>
              </c:pt>
              <c:pt idx="17">
                <c:v>97</c:v>
              </c:pt>
              <c:pt idx="18">
                <c:v>98</c:v>
              </c:pt>
              <c:pt idx="19">
                <c:v>99</c:v>
              </c:pt>
              <c:pt idx="20">
                <c:v>100</c:v>
              </c:pt>
              <c:pt idx="21">
                <c:v>101</c:v>
              </c:pt>
              <c:pt idx="22">
                <c:v>102</c:v>
              </c:pt>
              <c:pt idx="23">
                <c:v>103</c:v>
              </c:pt>
              <c:pt idx="24">
                <c:v>104</c:v>
              </c:pt>
              <c:pt idx="25">
                <c:v>105</c:v>
              </c:pt>
              <c:pt idx="26">
                <c:v>106</c:v>
              </c:pt>
              <c:pt idx="27">
                <c:v>107</c:v>
              </c:pt>
              <c:pt idx="28">
                <c:v>108</c:v>
              </c:pt>
              <c:pt idx="29">
                <c:v>109</c:v>
              </c:pt>
              <c:pt idx="30">
                <c:v>110</c:v>
              </c:pt>
              <c:pt idx="31">
                <c:v>111</c:v>
              </c:pt>
              <c:pt idx="32">
                <c:v>112</c:v>
              </c:pt>
              <c:pt idx="33">
                <c:v>113</c:v>
              </c:pt>
              <c:pt idx="34">
                <c:v>114</c:v>
              </c:pt>
              <c:pt idx="35">
                <c:v>115</c:v>
              </c:pt>
              <c:pt idx="36">
                <c:v>116</c:v>
              </c:pt>
              <c:pt idx="37">
                <c:v>117</c:v>
              </c:pt>
              <c:pt idx="38">
                <c:v>118</c:v>
              </c:pt>
              <c:pt idx="39">
                <c:v>119</c:v>
              </c:pt>
              <c:pt idx="40">
                <c:v>120</c:v>
              </c:pt>
            </c:numLit>
          </c:xVal>
          <c:yVal>
            <c:numLit>
              <c:formatCode>General</c:formatCode>
              <c:ptCount val="41"/>
              <c:pt idx="0">
                <c:v>-9.1623644371634327</c:v>
              </c:pt>
              <c:pt idx="1">
                <c:v>-8.8243037140004077</c:v>
              </c:pt>
              <c:pt idx="2">
                <c:v>-8.479130310436144</c:v>
              </c:pt>
              <c:pt idx="3">
                <c:v>-8.1258546553298814</c:v>
              </c:pt>
              <c:pt idx="4">
                <c:v>-7.7634506122790548</c:v>
              </c:pt>
              <c:pt idx="5">
                <c:v>-7.3908709420309648</c:v>
              </c:pt>
              <c:pt idx="6">
                <c:v>-7.0070642923150714</c:v>
              </c:pt>
              <c:pt idx="7">
                <c:v>-6.6109931750654454</c:v>
              </c:pt>
              <c:pt idx="8">
                <c:v>-6.2016523397892414</c:v>
              </c:pt>
              <c:pt idx="9">
                <c:v>-5.7780869313100141</c:v>
              </c:pt>
              <c:pt idx="10">
                <c:v>-5.3394098306286466</c:v>
              </c:pt>
              <c:pt idx="11">
                <c:v>-4.8848176174725921</c:v>
              </c:pt>
              <c:pt idx="12">
                <c:v>-4.4136046587047701</c:v>
              </c:pt>
              <c:pt idx="13">
                <c:v>-3.9251749131788749</c:v>
              </c:pt>
              <c:pt idx="14">
                <c:v>-3.4190511449455698</c:v>
              </c:pt>
              <c:pt idx="15">
                <c:v>-2.8948813465693739</c:v>
              </c:pt>
              <c:pt idx="16">
                <c:v>-2.3524422863610361</c:v>
              </c:pt>
              <c:pt idx="17">
                <c:v>-1.7916402016630641</c:v>
              </c:pt>
              <c:pt idx="18">
                <c:v>-1.2125087598224127</c:v>
              </c:pt>
              <c:pt idx="19">
                <c:v>-0.61520449504413932</c:v>
              </c:pt>
              <c:pt idx="20">
                <c:v>0</c:v>
              </c:pt>
              <c:pt idx="21">
                <c:v>0.63272479587745067</c:v>
              </c:pt>
              <c:pt idx="22">
                <c:v>1.2824928946452374</c:v>
              </c:pt>
              <c:pt idx="23">
                <c:v>1.9487416608181007</c:v>
              </c:pt>
              <c:pt idx="24">
                <c:v>2.6308350306484769</c:v>
              </c:pt>
              <c:pt idx="25">
                <c:v>3.3280761292474281</c:v>
              </c:pt>
              <c:pt idx="26">
                <c:v>4.0397199510974318</c:v>
              </c:pt>
              <c:pt idx="27">
                <c:v>4.7649857949409622</c:v>
              </c:pt>
              <c:pt idx="28">
                <c:v>5.5030691861266021</c:v>
              </c:pt>
              <c:pt idx="29">
                <c:v>6.2531530656012748</c:v>
              </c:pt>
              <c:pt idx="30">
                <c:v>7.0144180724161558</c:v>
              </c:pt>
              <c:pt idx="31">
                <c:v>7.7860517937322129</c:v>
              </c:pt>
              <c:pt idx="32">
                <c:v>8.5672569011007695</c:v>
              </c:pt>
              <c:pt idx="33">
                <c:v>9.3572581328821514</c:v>
              </c:pt>
              <c:pt idx="34">
                <c:v>10.155308119060166</c:v>
              </c:pt>
              <c:pt idx="35">
                <c:v>10.960692075798718</c:v>
              </c:pt>
              <c:pt idx="36">
                <c:v>11.772731422579561</c:v>
              </c:pt>
              <c:pt idx="37">
                <c:v>12.590786394657663</c:v>
              </c:pt>
              <c:pt idx="38">
                <c:v>13.41425773809808</c:v>
              </c:pt>
              <c:pt idx="39">
                <c:v>14.242587584224225</c:v>
              </c:pt>
              <c:pt idx="40">
                <c:v>15.075259605438262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931B-4CAA-A8FC-AB5F4B0A9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0319344"/>
        <c:axId val="1"/>
      </c:scatterChart>
      <c:valAx>
        <c:axId val="1370319344"/>
        <c:scaling>
          <c:orientation val="minMax"/>
          <c:max val="120"/>
          <c:min val="80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Stock price</a:t>
                </a:r>
              </a:p>
            </c:rich>
          </c:tx>
          <c:layout>
            <c:manualLayout>
              <c:xMode val="edge"/>
              <c:yMode val="edge"/>
              <c:x val="0.44064785966502384"/>
              <c:y val="0.8467336683417084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Change in value</a:t>
                </a:r>
              </a:p>
            </c:rich>
          </c:tx>
          <c:layout>
            <c:manualLayout>
              <c:xMode val="edge"/>
              <c:yMode val="edge"/>
              <c:x val="2.8776978417266189E-2"/>
              <c:y val="0.2939698492462311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7031934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727283041158962"/>
          <c:y val="0.90876728479240498"/>
          <c:w val="0.4863458058219689"/>
          <c:h val="5.43706922525370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632460</xdr:colOff>
          <xdr:row>7</xdr:row>
          <xdr:rowOff>190500</xdr:rowOff>
        </xdr:from>
        <xdr:to>
          <xdr:col>12</xdr:col>
          <xdr:colOff>1181100</xdr:colOff>
          <xdr:row>9</xdr:row>
          <xdr:rowOff>152400</xdr:rowOff>
        </xdr:to>
        <xdr:sp macro="" textlink="">
          <xdr:nvSpPr>
            <xdr:cNvPr id="2049" name="Button 1" descr="Run Scenario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720415B8-6000-41F0-8E45-7AFB9884BB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Run Scenario</a:t>
              </a:r>
            </a:p>
          </xdr:txBody>
        </xdr:sp>
        <xdr:clientData fPrintsWithSheet="0"/>
      </xdr:twoCellAnchor>
    </mc:Choice>
    <mc:Fallback/>
  </mc:AlternateContent>
  <xdr:twoCellAnchor>
    <xdr:from>
      <xdr:col>7</xdr:col>
      <xdr:colOff>183514</xdr:colOff>
      <xdr:row>12</xdr:row>
      <xdr:rowOff>41637</xdr:rowOff>
    </xdr:from>
    <xdr:to>
      <xdr:col>13</xdr:col>
      <xdr:colOff>392247</xdr:colOff>
      <xdr:row>38</xdr:row>
      <xdr:rowOff>31023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FC792C6-70D5-45DC-BDE4-616E2F9FC6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419100</xdr:colOff>
          <xdr:row>2</xdr:row>
          <xdr:rowOff>0</xdr:rowOff>
        </xdr:from>
        <xdr:to>
          <xdr:col>9</xdr:col>
          <xdr:colOff>571500</xdr:colOff>
          <xdr:row>3</xdr:row>
          <xdr:rowOff>198120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8DFD35E7-3838-4170-8122-3583460DA6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Optimize Theoretical Portfolio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1</xdr:row>
      <xdr:rowOff>121920</xdr:rowOff>
    </xdr:from>
    <xdr:to>
      <xdr:col>13</xdr:col>
      <xdr:colOff>464820</xdr:colOff>
      <xdr:row>10</xdr:row>
      <xdr:rowOff>45720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6EBEE75-E94F-46E8-928D-47E4624748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396240</xdr:colOff>
          <xdr:row>6</xdr:row>
          <xdr:rowOff>121920</xdr:rowOff>
        </xdr:from>
        <xdr:to>
          <xdr:col>6</xdr:col>
          <xdr:colOff>251460</xdr:colOff>
          <xdr:row>8</xdr:row>
          <xdr:rowOff>45720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F8D72261-4150-45AF-8B1C-D4B9AB9C11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Run GBM Simulation</a:t>
              </a:r>
            </a:p>
          </xdr:txBody>
        </xdr:sp>
        <xdr:clientData fPrintsWithSheet="0"/>
      </xdr:twoCellAnchor>
    </mc:Choice>
    <mc:Fallback/>
  </mc:AlternateContent>
  <xdr:twoCellAnchor>
    <xdr:from>
      <xdr:col>7</xdr:col>
      <xdr:colOff>163830</xdr:colOff>
      <xdr:row>10</xdr:row>
      <xdr:rowOff>106680</xdr:rowOff>
    </xdr:from>
    <xdr:to>
      <xdr:col>13</xdr:col>
      <xdr:colOff>483870</xdr:colOff>
      <xdr:row>26</xdr:row>
      <xdr:rowOff>182880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FD66157-4CB8-49AE-922C-BE477F6425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6</xdr:row>
      <xdr:rowOff>0</xdr:rowOff>
    </xdr:from>
    <xdr:to>
      <xdr:col>20</xdr:col>
      <xdr:colOff>0</xdr:colOff>
      <xdr:row>26</xdr:row>
      <xdr:rowOff>106680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DC047F7F-7888-42D3-8CF3-9E655ABB46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0</xdr:colOff>
      <xdr:row>16</xdr:row>
      <xdr:rowOff>106680</xdr:rowOff>
    </xdr:from>
    <xdr:to>
      <xdr:col>20</xdr:col>
      <xdr:colOff>0</xdr:colOff>
      <xdr:row>34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A9AB9B7-714A-4A6B-9933-E458C009FA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46</xdr:row>
      <xdr:rowOff>0</xdr:rowOff>
    </xdr:from>
    <xdr:to>
      <xdr:col>20</xdr:col>
      <xdr:colOff>0</xdr:colOff>
      <xdr:row>46</xdr:row>
      <xdr:rowOff>0</xdr:rowOff>
    </xdr:to>
    <xdr:graphicFrame macro="">
      <xdr:nvGraphicFramePr>
        <xdr:cNvPr id="4" name="Chart 9">
          <a:extLst>
            <a:ext uri="{FF2B5EF4-FFF2-40B4-BE49-F238E27FC236}">
              <a16:creationId xmlns:a16="http://schemas.microsoft.com/office/drawing/2014/main" id="{F048CA3E-5FAD-4A16-AAE3-DC3402F63F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31</xdr:col>
      <xdr:colOff>160020</xdr:colOff>
      <xdr:row>26</xdr:row>
      <xdr:rowOff>160020</xdr:rowOff>
    </xdr:from>
    <xdr:ext cx="76200" cy="205740"/>
    <xdr:sp macro="" textlink="">
      <xdr:nvSpPr>
        <xdr:cNvPr id="5" name="Text Box 19">
          <a:extLst>
            <a:ext uri="{FF2B5EF4-FFF2-40B4-BE49-F238E27FC236}">
              <a16:creationId xmlns:a16="http://schemas.microsoft.com/office/drawing/2014/main" id="{34BD9577-7C54-4E36-99A1-C02987A3F3E1}"/>
            </a:ext>
          </a:extLst>
        </xdr:cNvPr>
        <xdr:cNvSpPr txBox="1">
          <a:spLocks noChangeArrowheads="1"/>
        </xdr:cNvSpPr>
      </xdr:nvSpPr>
      <xdr:spPr bwMode="auto">
        <a:xfrm>
          <a:off x="22646640" y="54559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26</xdr:col>
      <xdr:colOff>182880</xdr:colOff>
      <xdr:row>2</xdr:row>
      <xdr:rowOff>0</xdr:rowOff>
    </xdr:from>
    <xdr:to>
      <xdr:col>34</xdr:col>
      <xdr:colOff>601980</xdr:colOff>
      <xdr:row>25</xdr:row>
      <xdr:rowOff>68580</xdr:rowOff>
    </xdr:to>
    <xdr:graphicFrame macro="">
      <xdr:nvGraphicFramePr>
        <xdr:cNvPr id="6" name="Chart 31">
          <a:extLst>
            <a:ext uri="{FF2B5EF4-FFF2-40B4-BE49-F238E27FC236}">
              <a16:creationId xmlns:a16="http://schemas.microsoft.com/office/drawing/2014/main" id="{34F996C8-987B-4FF2-8E46-91A14EDC76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mprehensive%20Budget%20Tracker%20v8.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Maintenance"/>
      <sheetName val="Summary"/>
      <sheetName val="Inputs -&gt;"/>
      <sheetName val="Expenses"/>
      <sheetName val="Saving"/>
      <sheetName val="Debt"/>
      <sheetName val="Data -&gt;"/>
      <sheetName val="Spend"/>
      <sheetName val="Spend Tables"/>
      <sheetName val="WIP"/>
      <sheetName val="Tax"/>
      <sheetName val="Tools -&gt;"/>
      <sheetName val="Investment Pivots"/>
      <sheetName val="Portfolio Rebalancer"/>
      <sheetName val="Portfolio Optimizer"/>
      <sheetName val="Monte Carlo"/>
      <sheetName val="Stock Price Predictor"/>
      <sheetName val="Options Models"/>
      <sheetName val="TVM (WIP)"/>
    </sheetNames>
    <sheetDataSet>
      <sheetData sheetId="0"/>
      <sheetData sheetId="1"/>
      <sheetData sheetId="2">
        <row r="6">
          <cell r="E6">
            <v>100000</v>
          </cell>
        </row>
        <row r="7">
          <cell r="E7">
            <v>8333.3333333333339</v>
          </cell>
        </row>
        <row r="8">
          <cell r="E8">
            <v>250</v>
          </cell>
        </row>
        <row r="12">
          <cell r="E12">
            <v>0</v>
          </cell>
        </row>
        <row r="14">
          <cell r="E14">
            <v>541.66666666666663</v>
          </cell>
        </row>
        <row r="15">
          <cell r="E15">
            <v>1000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2">
          <cell r="GH2">
            <v>44227</v>
          </cell>
          <cell r="GI2">
            <v>0</v>
          </cell>
          <cell r="GJ2">
            <v>85</v>
          </cell>
          <cell r="GK2">
            <v>3772.3086750631574</v>
          </cell>
        </row>
        <row r="3">
          <cell r="B3">
            <v>45230</v>
          </cell>
          <cell r="GH3">
            <v>44255</v>
          </cell>
          <cell r="GI3">
            <v>0</v>
          </cell>
          <cell r="GJ3">
            <v>85</v>
          </cell>
          <cell r="GK3">
            <v>3772.3086750631574</v>
          </cell>
        </row>
        <row r="4">
          <cell r="B4">
            <v>44500</v>
          </cell>
          <cell r="GH4">
            <v>44286</v>
          </cell>
          <cell r="GI4">
            <v>0</v>
          </cell>
          <cell r="GJ4">
            <v>85</v>
          </cell>
          <cell r="GK4">
            <v>3772.3086750631574</v>
          </cell>
        </row>
        <row r="5">
          <cell r="GH5">
            <v>44316</v>
          </cell>
          <cell r="GI5">
            <v>0</v>
          </cell>
          <cell r="GJ5">
            <v>85</v>
          </cell>
          <cell r="GK5">
            <v>3772.3086750631574</v>
          </cell>
        </row>
        <row r="6">
          <cell r="GH6">
            <v>44347</v>
          </cell>
          <cell r="GI6">
            <v>0</v>
          </cell>
          <cell r="GJ6">
            <v>85</v>
          </cell>
          <cell r="GK6">
            <v>3772.3086750631574</v>
          </cell>
        </row>
        <row r="7">
          <cell r="GH7">
            <v>44377</v>
          </cell>
          <cell r="GI7">
            <v>0</v>
          </cell>
          <cell r="GJ7">
            <v>85</v>
          </cell>
          <cell r="GK7">
            <v>3772.3086750631574</v>
          </cell>
        </row>
        <row r="8">
          <cell r="GH8">
            <v>44408</v>
          </cell>
          <cell r="GI8">
            <v>0</v>
          </cell>
          <cell r="GJ8">
            <v>85</v>
          </cell>
          <cell r="GK8">
            <v>3772.3086750631574</v>
          </cell>
        </row>
        <row r="9">
          <cell r="GH9">
            <v>44439</v>
          </cell>
          <cell r="GI9">
            <v>0</v>
          </cell>
          <cell r="GJ9">
            <v>85</v>
          </cell>
          <cell r="GK9">
            <v>3772.3086750631574</v>
          </cell>
        </row>
        <row r="10">
          <cell r="GH10">
            <v>44469</v>
          </cell>
          <cell r="GI10">
            <v>0</v>
          </cell>
          <cell r="GJ10">
            <v>85</v>
          </cell>
          <cell r="GK10">
            <v>3772.3086750631574</v>
          </cell>
        </row>
        <row r="11">
          <cell r="GH11">
            <v>44500</v>
          </cell>
          <cell r="GI11">
            <v>0</v>
          </cell>
          <cell r="GJ11">
            <v>85</v>
          </cell>
          <cell r="GK11">
            <v>3772.3086750631574</v>
          </cell>
        </row>
        <row r="12">
          <cell r="GH12">
            <v>44530</v>
          </cell>
          <cell r="GI12">
            <v>0</v>
          </cell>
          <cell r="GJ12">
            <v>85</v>
          </cell>
          <cell r="GK12">
            <v>3772.3086750631574</v>
          </cell>
        </row>
        <row r="13">
          <cell r="GH13">
            <v>44561</v>
          </cell>
          <cell r="GI13">
            <v>0</v>
          </cell>
          <cell r="GJ13">
            <v>85</v>
          </cell>
          <cell r="GK13">
            <v>3772.3086750631574</v>
          </cell>
        </row>
        <row r="14">
          <cell r="GH14">
            <v>44592</v>
          </cell>
          <cell r="GI14">
            <v>0</v>
          </cell>
          <cell r="GJ14">
            <v>85</v>
          </cell>
          <cell r="GK14">
            <v>3772.3086750631574</v>
          </cell>
        </row>
        <row r="15">
          <cell r="GH15">
            <v>44620</v>
          </cell>
          <cell r="GI15">
            <v>0</v>
          </cell>
          <cell r="GJ15">
            <v>85</v>
          </cell>
          <cell r="GK15">
            <v>3772.3086750631574</v>
          </cell>
        </row>
        <row r="16">
          <cell r="GH16">
            <v>44651</v>
          </cell>
          <cell r="GI16">
            <v>0</v>
          </cell>
          <cell r="GJ16">
            <v>85</v>
          </cell>
          <cell r="GK16">
            <v>3772.3086750631574</v>
          </cell>
        </row>
        <row r="17">
          <cell r="GH17">
            <v>44681</v>
          </cell>
          <cell r="GI17">
            <v>0</v>
          </cell>
          <cell r="GJ17">
            <v>85</v>
          </cell>
          <cell r="GK17">
            <v>3772.3086750631574</v>
          </cell>
        </row>
        <row r="18">
          <cell r="GH18">
            <v>44712</v>
          </cell>
          <cell r="GI18">
            <v>0</v>
          </cell>
          <cell r="GJ18">
            <v>85</v>
          </cell>
          <cell r="GK18">
            <v>3772.3086750631574</v>
          </cell>
        </row>
        <row r="19">
          <cell r="GH19">
            <v>44742</v>
          </cell>
          <cell r="GI19">
            <v>0</v>
          </cell>
          <cell r="GJ19">
            <v>85</v>
          </cell>
          <cell r="GK19">
            <v>3772.3086750631574</v>
          </cell>
        </row>
        <row r="20">
          <cell r="GH20">
            <v>44773</v>
          </cell>
          <cell r="GI20">
            <v>0</v>
          </cell>
          <cell r="GJ20">
            <v>85</v>
          </cell>
          <cell r="GK20">
            <v>3772.3086750631574</v>
          </cell>
        </row>
        <row r="21">
          <cell r="GH21">
            <v>44804</v>
          </cell>
          <cell r="GI21">
            <v>0</v>
          </cell>
          <cell r="GJ21">
            <v>85</v>
          </cell>
          <cell r="GK21">
            <v>3772.3086750631574</v>
          </cell>
        </row>
        <row r="22">
          <cell r="GH22">
            <v>44834</v>
          </cell>
          <cell r="GI22">
            <v>0</v>
          </cell>
          <cell r="GJ22">
            <v>85</v>
          </cell>
          <cell r="GK22">
            <v>3772.3086750631574</v>
          </cell>
        </row>
        <row r="23">
          <cell r="GH23">
            <v>44865</v>
          </cell>
          <cell r="GI23">
            <v>0</v>
          </cell>
          <cell r="GJ23">
            <v>85</v>
          </cell>
          <cell r="GK23">
            <v>3772.3086750631574</v>
          </cell>
        </row>
        <row r="24">
          <cell r="GH24">
            <v>44895</v>
          </cell>
          <cell r="GI24">
            <v>0</v>
          </cell>
          <cell r="GJ24">
            <v>85</v>
          </cell>
          <cell r="GK24">
            <v>3772.3086750631574</v>
          </cell>
        </row>
        <row r="25">
          <cell r="GH25">
            <v>44926</v>
          </cell>
          <cell r="GI25">
            <v>0</v>
          </cell>
          <cell r="GJ25">
            <v>85</v>
          </cell>
          <cell r="GK25">
            <v>3772.3086750631574</v>
          </cell>
        </row>
        <row r="26">
          <cell r="GH26">
            <v>44957</v>
          </cell>
          <cell r="GI26">
            <v>0</v>
          </cell>
          <cell r="GJ26">
            <v>85</v>
          </cell>
          <cell r="GK26">
            <v>3772.3086750631574</v>
          </cell>
        </row>
        <row r="27">
          <cell r="GH27">
            <v>44985</v>
          </cell>
          <cell r="GI27">
            <v>0</v>
          </cell>
          <cell r="GJ27">
            <v>85</v>
          </cell>
          <cell r="GK27">
            <v>3772.3086750631574</v>
          </cell>
        </row>
        <row r="28">
          <cell r="GH28">
            <v>45016</v>
          </cell>
          <cell r="GI28">
            <v>0</v>
          </cell>
          <cell r="GJ28">
            <v>85</v>
          </cell>
          <cell r="GK28">
            <v>3772.3086750631574</v>
          </cell>
        </row>
        <row r="29">
          <cell r="GH29">
            <v>45046</v>
          </cell>
          <cell r="GI29">
            <v>0</v>
          </cell>
          <cell r="GJ29">
            <v>85</v>
          </cell>
          <cell r="GK29">
            <v>3772.3086750631574</v>
          </cell>
        </row>
        <row r="30">
          <cell r="GH30">
            <v>45077</v>
          </cell>
          <cell r="GI30">
            <v>0</v>
          </cell>
          <cell r="GJ30">
            <v>85</v>
          </cell>
          <cell r="GK30">
            <v>3772.3086750631574</v>
          </cell>
        </row>
        <row r="31">
          <cell r="GH31">
            <v>45107</v>
          </cell>
          <cell r="GI31">
            <v>0</v>
          </cell>
          <cell r="GJ31">
            <v>85</v>
          </cell>
          <cell r="GK31">
            <v>3772.3086750631574</v>
          </cell>
        </row>
        <row r="32">
          <cell r="GH32">
            <v>45138</v>
          </cell>
          <cell r="GI32">
            <v>0</v>
          </cell>
          <cell r="GJ32">
            <v>85</v>
          </cell>
          <cell r="GK32">
            <v>3772.3086750631574</v>
          </cell>
        </row>
        <row r="33">
          <cell r="GH33">
            <v>45169</v>
          </cell>
          <cell r="GI33">
            <v>0</v>
          </cell>
          <cell r="GJ33">
            <v>85</v>
          </cell>
          <cell r="GK33">
            <v>3772.3086750631574</v>
          </cell>
        </row>
        <row r="34">
          <cell r="GH34">
            <v>45199</v>
          </cell>
          <cell r="GI34">
            <v>0</v>
          </cell>
          <cell r="GJ34">
            <v>85</v>
          </cell>
          <cell r="GK34">
            <v>3772.3086750631574</v>
          </cell>
        </row>
        <row r="35">
          <cell r="GH35">
            <v>45230</v>
          </cell>
          <cell r="GI35">
            <v>85</v>
          </cell>
          <cell r="GJ35">
            <v>85</v>
          </cell>
          <cell r="GK35">
            <v>3772.3086750631574</v>
          </cell>
        </row>
        <row r="36">
          <cell r="GH36">
            <v>45260</v>
          </cell>
          <cell r="GI36">
            <v>0</v>
          </cell>
          <cell r="GJ36">
            <v>85</v>
          </cell>
          <cell r="GK36">
            <v>3772.3086750631574</v>
          </cell>
        </row>
        <row r="37">
          <cell r="GH37">
            <v>45291</v>
          </cell>
          <cell r="GI37">
            <v>0</v>
          </cell>
          <cell r="GJ37">
            <v>85</v>
          </cell>
          <cell r="GK37">
            <v>3772.3086750631574</v>
          </cell>
        </row>
        <row r="38">
          <cell r="GH38">
            <v>45322</v>
          </cell>
          <cell r="GI38">
            <v>0</v>
          </cell>
          <cell r="GJ38">
            <v>85</v>
          </cell>
          <cell r="GK38">
            <v>3772.3086750631574</v>
          </cell>
        </row>
        <row r="39">
          <cell r="GH39">
            <v>45351</v>
          </cell>
          <cell r="GI39">
            <v>0</v>
          </cell>
          <cell r="GJ39">
            <v>85</v>
          </cell>
          <cell r="GK39">
            <v>3772.3086750631574</v>
          </cell>
        </row>
        <row r="40">
          <cell r="GH40">
            <v>45382</v>
          </cell>
          <cell r="GI40">
            <v>0</v>
          </cell>
          <cell r="GJ40">
            <v>85</v>
          </cell>
          <cell r="GK40">
            <v>3772.3086750631574</v>
          </cell>
        </row>
        <row r="41">
          <cell r="GH41">
            <v>45412</v>
          </cell>
          <cell r="GI41">
            <v>0</v>
          </cell>
          <cell r="GJ41">
            <v>85</v>
          </cell>
          <cell r="GK41">
            <v>3772.3086750631574</v>
          </cell>
        </row>
        <row r="42">
          <cell r="GH42">
            <v>45443</v>
          </cell>
          <cell r="GI42">
            <v>0</v>
          </cell>
          <cell r="GJ42">
            <v>85</v>
          </cell>
          <cell r="GK42">
            <v>3772.3086750631574</v>
          </cell>
        </row>
        <row r="43">
          <cell r="GH43">
            <v>45473</v>
          </cell>
          <cell r="GI43">
            <v>0</v>
          </cell>
          <cell r="GJ43">
            <v>85</v>
          </cell>
          <cell r="GK43">
            <v>3772.3086750631574</v>
          </cell>
        </row>
        <row r="44">
          <cell r="GH44">
            <v>45504</v>
          </cell>
          <cell r="GI44">
            <v>0</v>
          </cell>
          <cell r="GJ44">
            <v>85</v>
          </cell>
          <cell r="GK44">
            <v>3772.3086750631574</v>
          </cell>
        </row>
        <row r="45">
          <cell r="GH45">
            <v>45535</v>
          </cell>
          <cell r="GI45">
            <v>0</v>
          </cell>
          <cell r="GJ45">
            <v>85</v>
          </cell>
          <cell r="GK45">
            <v>3772.3086750631574</v>
          </cell>
        </row>
        <row r="46">
          <cell r="GH46">
            <v>45565</v>
          </cell>
          <cell r="GI46">
            <v>0</v>
          </cell>
          <cell r="GJ46">
            <v>85</v>
          </cell>
          <cell r="GK46">
            <v>3772.3086750631574</v>
          </cell>
        </row>
        <row r="47">
          <cell r="GH47">
            <v>45596</v>
          </cell>
          <cell r="GI47">
            <v>0</v>
          </cell>
          <cell r="GJ47">
            <v>85</v>
          </cell>
          <cell r="GK47">
            <v>3772.3086750631574</v>
          </cell>
        </row>
        <row r="48">
          <cell r="GH48">
            <v>45626</v>
          </cell>
          <cell r="GI48">
            <v>0</v>
          </cell>
          <cell r="GJ48">
            <v>85</v>
          </cell>
          <cell r="GK48">
            <v>3772.3086750631574</v>
          </cell>
        </row>
        <row r="49">
          <cell r="GH49">
            <v>45657</v>
          </cell>
          <cell r="GI49">
            <v>0</v>
          </cell>
          <cell r="GJ49">
            <v>85</v>
          </cell>
          <cell r="GK49">
            <v>3772.3086750631574</v>
          </cell>
        </row>
        <row r="50">
          <cell r="GH50">
            <v>45688</v>
          </cell>
          <cell r="GI50">
            <v>0</v>
          </cell>
          <cell r="GJ50">
            <v>85</v>
          </cell>
          <cell r="GK50">
            <v>3772.3086750631574</v>
          </cell>
        </row>
        <row r="51">
          <cell r="GH51">
            <v>45716</v>
          </cell>
          <cell r="GI51">
            <v>0</v>
          </cell>
          <cell r="GJ51">
            <v>85</v>
          </cell>
          <cell r="GK51">
            <v>3772.3086750631574</v>
          </cell>
        </row>
        <row r="52">
          <cell r="GH52">
            <v>45747</v>
          </cell>
          <cell r="GI52">
            <v>0</v>
          </cell>
          <cell r="GJ52">
            <v>85</v>
          </cell>
          <cell r="GK52">
            <v>3772.3086750631574</v>
          </cell>
        </row>
        <row r="53">
          <cell r="GH53">
            <v>45777</v>
          </cell>
          <cell r="GI53">
            <v>0</v>
          </cell>
          <cell r="GJ53">
            <v>85</v>
          </cell>
          <cell r="GK53">
            <v>3772.3086750631574</v>
          </cell>
        </row>
        <row r="54">
          <cell r="GH54">
            <v>45808</v>
          </cell>
          <cell r="GI54">
            <v>0</v>
          </cell>
          <cell r="GJ54">
            <v>85</v>
          </cell>
          <cell r="GK54">
            <v>3772.3086750631574</v>
          </cell>
        </row>
        <row r="55">
          <cell r="GH55">
            <v>45838</v>
          </cell>
          <cell r="GI55">
            <v>0</v>
          </cell>
          <cell r="GJ55">
            <v>85</v>
          </cell>
          <cell r="GK55">
            <v>3772.3086750631574</v>
          </cell>
        </row>
        <row r="56">
          <cell r="GH56">
            <v>45869</v>
          </cell>
          <cell r="GI56">
            <v>0</v>
          </cell>
          <cell r="GJ56">
            <v>85</v>
          </cell>
          <cell r="GK56">
            <v>3772.3086750631574</v>
          </cell>
        </row>
        <row r="57">
          <cell r="GH57">
            <v>45900</v>
          </cell>
          <cell r="GI57">
            <v>0</v>
          </cell>
          <cell r="GJ57">
            <v>85</v>
          </cell>
          <cell r="GK57">
            <v>3772.3086750631574</v>
          </cell>
        </row>
        <row r="58">
          <cell r="GH58">
            <v>45930</v>
          </cell>
          <cell r="GI58">
            <v>0</v>
          </cell>
          <cell r="GJ58">
            <v>85</v>
          </cell>
          <cell r="GK58">
            <v>3772.3086750631574</v>
          </cell>
        </row>
        <row r="59">
          <cell r="GH59">
            <v>45961</v>
          </cell>
          <cell r="GI59">
            <v>0</v>
          </cell>
          <cell r="GJ59">
            <v>85</v>
          </cell>
          <cell r="GK59">
            <v>3772.3086750631574</v>
          </cell>
        </row>
        <row r="60">
          <cell r="GH60">
            <v>45991</v>
          </cell>
          <cell r="GI60">
            <v>0</v>
          </cell>
          <cell r="GJ60">
            <v>85</v>
          </cell>
          <cell r="GK60">
            <v>3772.3086750631574</v>
          </cell>
        </row>
        <row r="61">
          <cell r="GH61">
            <v>46022</v>
          </cell>
          <cell r="GI61">
            <v>0</v>
          </cell>
          <cell r="GJ61">
            <v>85</v>
          </cell>
          <cell r="GK61">
            <v>3772.3086750631574</v>
          </cell>
        </row>
        <row r="62">
          <cell r="GH62">
            <v>46053</v>
          </cell>
          <cell r="GI62">
            <v>0</v>
          </cell>
          <cell r="GJ62">
            <v>85</v>
          </cell>
          <cell r="GK62">
            <v>3772.3086750631574</v>
          </cell>
        </row>
        <row r="63">
          <cell r="GH63">
            <v>46081</v>
          </cell>
          <cell r="GI63">
            <v>0</v>
          </cell>
          <cell r="GJ63">
            <v>85</v>
          </cell>
          <cell r="GK63">
            <v>3772.3086750631574</v>
          </cell>
        </row>
        <row r="64">
          <cell r="GH64">
            <v>46112</v>
          </cell>
          <cell r="GI64">
            <v>0</v>
          </cell>
          <cell r="GJ64">
            <v>85</v>
          </cell>
          <cell r="GK64">
            <v>3772.3086750631574</v>
          </cell>
        </row>
        <row r="65">
          <cell r="GH65">
            <v>46142</v>
          </cell>
          <cell r="GI65">
            <v>0</v>
          </cell>
          <cell r="GJ65">
            <v>85</v>
          </cell>
          <cell r="GK65">
            <v>3772.3086750631574</v>
          </cell>
        </row>
        <row r="66">
          <cell r="GH66">
            <v>46173</v>
          </cell>
          <cell r="GI66">
            <v>0</v>
          </cell>
          <cell r="GJ66">
            <v>85</v>
          </cell>
          <cell r="GK66">
            <v>3772.3086750631574</v>
          </cell>
        </row>
        <row r="67">
          <cell r="GH67">
            <v>46203</v>
          </cell>
          <cell r="GI67">
            <v>0</v>
          </cell>
          <cell r="GJ67">
            <v>85</v>
          </cell>
          <cell r="GK67">
            <v>3772.3086750631574</v>
          </cell>
        </row>
        <row r="68">
          <cell r="GH68">
            <v>46234</v>
          </cell>
          <cell r="GI68">
            <v>0</v>
          </cell>
          <cell r="GJ68">
            <v>85</v>
          </cell>
          <cell r="GK68">
            <v>3772.3086750631574</v>
          </cell>
        </row>
        <row r="69">
          <cell r="GH69">
            <v>46265</v>
          </cell>
          <cell r="GI69">
            <v>0</v>
          </cell>
          <cell r="GJ69">
            <v>85</v>
          </cell>
          <cell r="GK69">
            <v>3772.3086750631574</v>
          </cell>
        </row>
        <row r="70">
          <cell r="GH70">
            <v>46295</v>
          </cell>
          <cell r="GI70">
            <v>0</v>
          </cell>
          <cell r="GJ70">
            <v>85</v>
          </cell>
          <cell r="GK70">
            <v>3772.3086750631574</v>
          </cell>
        </row>
        <row r="71">
          <cell r="GH71">
            <v>46326</v>
          </cell>
          <cell r="GI71">
            <v>0</v>
          </cell>
          <cell r="GJ71">
            <v>85</v>
          </cell>
          <cell r="GK71">
            <v>3772.3086750631574</v>
          </cell>
        </row>
        <row r="72">
          <cell r="GH72">
            <v>46356</v>
          </cell>
          <cell r="GI72">
            <v>0</v>
          </cell>
          <cell r="GJ72">
            <v>85</v>
          </cell>
          <cell r="GK72">
            <v>3772.3086750631574</v>
          </cell>
        </row>
        <row r="73">
          <cell r="GH73">
            <v>46387</v>
          </cell>
          <cell r="GI73">
            <v>0</v>
          </cell>
          <cell r="GJ73">
            <v>85</v>
          </cell>
          <cell r="GK73">
            <v>3772.3086750631574</v>
          </cell>
        </row>
        <row r="74">
          <cell r="GH74">
            <v>46418</v>
          </cell>
          <cell r="GI74">
            <v>0</v>
          </cell>
          <cell r="GJ74">
            <v>85</v>
          </cell>
          <cell r="GK74">
            <v>3772.3086750631574</v>
          </cell>
        </row>
        <row r="75">
          <cell r="GH75">
            <v>46446</v>
          </cell>
          <cell r="GI75">
            <v>0</v>
          </cell>
          <cell r="GJ75">
            <v>85</v>
          </cell>
          <cell r="GK75">
            <v>3772.3086750631574</v>
          </cell>
        </row>
        <row r="76">
          <cell r="GH76">
            <v>46477</v>
          </cell>
          <cell r="GI76">
            <v>0</v>
          </cell>
          <cell r="GJ76">
            <v>85</v>
          </cell>
          <cell r="GK76">
            <v>3772.3086750631574</v>
          </cell>
        </row>
        <row r="77">
          <cell r="GH77">
            <v>46507</v>
          </cell>
          <cell r="GI77">
            <v>0</v>
          </cell>
          <cell r="GJ77">
            <v>85</v>
          </cell>
          <cell r="GK77">
            <v>3772.3086750631574</v>
          </cell>
        </row>
        <row r="78">
          <cell r="GH78">
            <v>46538</v>
          </cell>
          <cell r="GI78">
            <v>0</v>
          </cell>
          <cell r="GJ78">
            <v>85</v>
          </cell>
          <cell r="GK78">
            <v>3772.3086750631574</v>
          </cell>
        </row>
        <row r="79">
          <cell r="GH79">
            <v>46568</v>
          </cell>
          <cell r="GI79">
            <v>0</v>
          </cell>
          <cell r="GJ79">
            <v>85</v>
          </cell>
          <cell r="GK79">
            <v>3772.3086750631574</v>
          </cell>
        </row>
        <row r="80">
          <cell r="GH80">
            <v>46599</v>
          </cell>
          <cell r="GI80">
            <v>0</v>
          </cell>
          <cell r="GJ80">
            <v>85</v>
          </cell>
          <cell r="GK80">
            <v>3772.3086750631574</v>
          </cell>
        </row>
        <row r="81">
          <cell r="GH81">
            <v>46630</v>
          </cell>
          <cell r="GI81">
            <v>0</v>
          </cell>
          <cell r="GJ81">
            <v>85</v>
          </cell>
          <cell r="GK81">
            <v>3772.3086750631574</v>
          </cell>
        </row>
        <row r="82">
          <cell r="GH82">
            <v>46660</v>
          </cell>
          <cell r="GI82">
            <v>0</v>
          </cell>
          <cell r="GJ82">
            <v>85</v>
          </cell>
          <cell r="GK82">
            <v>3772.3086750631574</v>
          </cell>
        </row>
        <row r="83">
          <cell r="GH83">
            <v>46691</v>
          </cell>
          <cell r="GI83">
            <v>0</v>
          </cell>
          <cell r="GJ83">
            <v>85</v>
          </cell>
          <cell r="GK83">
            <v>3772.3086750631574</v>
          </cell>
        </row>
        <row r="84">
          <cell r="GH84">
            <v>46721</v>
          </cell>
          <cell r="GI84">
            <v>0</v>
          </cell>
          <cell r="GJ84">
            <v>85</v>
          </cell>
          <cell r="GK84">
            <v>3772.3086750631574</v>
          </cell>
        </row>
        <row r="85">
          <cell r="GH85">
            <v>46752</v>
          </cell>
          <cell r="GI85">
            <v>0</v>
          </cell>
          <cell r="GJ85">
            <v>85</v>
          </cell>
          <cell r="GK85">
            <v>3772.3086750631574</v>
          </cell>
        </row>
        <row r="86">
          <cell r="GH86">
            <v>46783</v>
          </cell>
          <cell r="GI86">
            <v>0</v>
          </cell>
          <cell r="GJ86">
            <v>85</v>
          </cell>
          <cell r="GK86">
            <v>3772.3086750631574</v>
          </cell>
        </row>
        <row r="87">
          <cell r="GH87">
            <v>46812</v>
          </cell>
          <cell r="GI87">
            <v>0</v>
          </cell>
          <cell r="GJ87">
            <v>85</v>
          </cell>
          <cell r="GK87">
            <v>3772.3086750631574</v>
          </cell>
        </row>
        <row r="88">
          <cell r="GH88">
            <v>46843</v>
          </cell>
          <cell r="GI88">
            <v>0</v>
          </cell>
          <cell r="GJ88">
            <v>85</v>
          </cell>
          <cell r="GK88">
            <v>3772.3086750631574</v>
          </cell>
        </row>
        <row r="89">
          <cell r="GH89">
            <v>46873</v>
          </cell>
          <cell r="GI89">
            <v>0</v>
          </cell>
          <cell r="GJ89">
            <v>85</v>
          </cell>
          <cell r="GK89">
            <v>3772.3086750631574</v>
          </cell>
        </row>
        <row r="90">
          <cell r="GH90">
            <v>46904</v>
          </cell>
          <cell r="GI90">
            <v>0</v>
          </cell>
          <cell r="GJ90">
            <v>85</v>
          </cell>
          <cell r="GK90">
            <v>3772.3086750631574</v>
          </cell>
        </row>
        <row r="91">
          <cell r="GH91">
            <v>46934</v>
          </cell>
          <cell r="GI91">
            <v>0</v>
          </cell>
          <cell r="GJ91">
            <v>85</v>
          </cell>
          <cell r="GK91">
            <v>3772.3086750631574</v>
          </cell>
        </row>
        <row r="92">
          <cell r="GH92">
            <v>46965</v>
          </cell>
          <cell r="GI92">
            <v>0</v>
          </cell>
          <cell r="GJ92">
            <v>85</v>
          </cell>
          <cell r="GK92">
            <v>3772.3086750631574</v>
          </cell>
        </row>
        <row r="93">
          <cell r="GH93">
            <v>46996</v>
          </cell>
          <cell r="GI93">
            <v>0</v>
          </cell>
          <cell r="GJ93">
            <v>85</v>
          </cell>
          <cell r="GK93">
            <v>3772.3086750631574</v>
          </cell>
        </row>
        <row r="94">
          <cell r="GH94">
            <v>47026</v>
          </cell>
          <cell r="GI94">
            <v>0</v>
          </cell>
          <cell r="GJ94">
            <v>85</v>
          </cell>
          <cell r="GK94">
            <v>3772.3086750631574</v>
          </cell>
        </row>
        <row r="95">
          <cell r="GH95">
            <v>47057</v>
          </cell>
          <cell r="GI95">
            <v>0</v>
          </cell>
          <cell r="GJ95">
            <v>85</v>
          </cell>
          <cell r="GK95">
            <v>3772.3086750631574</v>
          </cell>
        </row>
        <row r="96">
          <cell r="GH96">
            <v>47087</v>
          </cell>
          <cell r="GI96">
            <v>0</v>
          </cell>
          <cell r="GJ96">
            <v>85</v>
          </cell>
          <cell r="GK96">
            <v>3772.3086750631574</v>
          </cell>
        </row>
        <row r="97">
          <cell r="GH97">
            <v>47118</v>
          </cell>
          <cell r="GI97">
            <v>0</v>
          </cell>
          <cell r="GJ97">
            <v>85</v>
          </cell>
          <cell r="GK97">
            <v>3772.3086750631574</v>
          </cell>
        </row>
        <row r="98">
          <cell r="GH98">
            <v>47149</v>
          </cell>
          <cell r="GI98">
            <v>0</v>
          </cell>
          <cell r="GJ98">
            <v>85</v>
          </cell>
          <cell r="GK98">
            <v>3772.3086750631574</v>
          </cell>
        </row>
        <row r="99">
          <cell r="GH99">
            <v>47177</v>
          </cell>
          <cell r="GI99">
            <v>0</v>
          </cell>
          <cell r="GJ99">
            <v>85</v>
          </cell>
          <cell r="GK99">
            <v>3772.3086750631574</v>
          </cell>
        </row>
        <row r="100">
          <cell r="GH100">
            <v>47208</v>
          </cell>
          <cell r="GI100">
            <v>0</v>
          </cell>
          <cell r="GJ100">
            <v>85</v>
          </cell>
          <cell r="GK100">
            <v>3772.3086750631574</v>
          </cell>
        </row>
        <row r="101">
          <cell r="GH101">
            <v>47238</v>
          </cell>
          <cell r="GI101">
            <v>0</v>
          </cell>
          <cell r="GJ101">
            <v>85</v>
          </cell>
          <cell r="GK101">
            <v>3772.3086750631574</v>
          </cell>
        </row>
        <row r="102">
          <cell r="GH102">
            <v>47269</v>
          </cell>
          <cell r="GI102">
            <v>0</v>
          </cell>
          <cell r="GJ102">
            <v>85</v>
          </cell>
          <cell r="GK102">
            <v>3772.3086750631574</v>
          </cell>
        </row>
        <row r="103">
          <cell r="GH103">
            <v>47299</v>
          </cell>
          <cell r="GI103">
            <v>0</v>
          </cell>
          <cell r="GJ103">
            <v>85</v>
          </cell>
          <cell r="GK103">
            <v>3772.3086750631574</v>
          </cell>
        </row>
        <row r="104">
          <cell r="GH104">
            <v>47330</v>
          </cell>
          <cell r="GI104">
            <v>0</v>
          </cell>
          <cell r="GJ104">
            <v>85</v>
          </cell>
          <cell r="GK104">
            <v>3772.3086750631574</v>
          </cell>
        </row>
        <row r="105">
          <cell r="GH105">
            <v>47361</v>
          </cell>
          <cell r="GI105">
            <v>0</v>
          </cell>
          <cell r="GJ105">
            <v>85</v>
          </cell>
          <cell r="GK105">
            <v>3772.3086750631574</v>
          </cell>
        </row>
        <row r="106">
          <cell r="GH106">
            <v>47391</v>
          </cell>
          <cell r="GI106">
            <v>0</v>
          </cell>
          <cell r="GJ106">
            <v>85</v>
          </cell>
          <cell r="GK106">
            <v>3772.3086750631574</v>
          </cell>
        </row>
        <row r="107">
          <cell r="GH107">
            <v>47422</v>
          </cell>
          <cell r="GI107">
            <v>0</v>
          </cell>
          <cell r="GJ107">
            <v>85</v>
          </cell>
          <cell r="GK107">
            <v>3772.3086750631574</v>
          </cell>
        </row>
        <row r="108">
          <cell r="GH108">
            <v>47452</v>
          </cell>
          <cell r="GI108">
            <v>0</v>
          </cell>
          <cell r="GJ108">
            <v>85</v>
          </cell>
          <cell r="GK108">
            <v>3772.3086750631574</v>
          </cell>
        </row>
        <row r="109">
          <cell r="GH109">
            <v>47483</v>
          </cell>
          <cell r="GI109">
            <v>0</v>
          </cell>
          <cell r="GJ109">
            <v>85</v>
          </cell>
          <cell r="GK109">
            <v>3772.3086750631574</v>
          </cell>
        </row>
        <row r="110">
          <cell r="GH110">
            <v>47514</v>
          </cell>
          <cell r="GI110">
            <v>0</v>
          </cell>
          <cell r="GJ110">
            <v>85</v>
          </cell>
          <cell r="GK110">
            <v>3772.3086750631574</v>
          </cell>
        </row>
        <row r="111">
          <cell r="GH111">
            <v>47542</v>
          </cell>
          <cell r="GI111">
            <v>0</v>
          </cell>
          <cell r="GJ111">
            <v>85</v>
          </cell>
          <cell r="GK111">
            <v>3772.3086750631574</v>
          </cell>
        </row>
        <row r="112">
          <cell r="GH112">
            <v>47573</v>
          </cell>
          <cell r="GI112">
            <v>0</v>
          </cell>
          <cell r="GJ112">
            <v>85</v>
          </cell>
          <cell r="GK112">
            <v>3772.3086750631574</v>
          </cell>
        </row>
        <row r="113">
          <cell r="GH113">
            <v>47603</v>
          </cell>
          <cell r="GI113">
            <v>0</v>
          </cell>
          <cell r="GJ113">
            <v>85</v>
          </cell>
          <cell r="GK113">
            <v>3772.3086750631574</v>
          </cell>
        </row>
        <row r="114">
          <cell r="GH114">
            <v>47634</v>
          </cell>
          <cell r="GI114">
            <v>0</v>
          </cell>
          <cell r="GJ114">
            <v>85</v>
          </cell>
          <cell r="GK114">
            <v>3772.3086750631574</v>
          </cell>
        </row>
        <row r="115">
          <cell r="GH115">
            <v>47664</v>
          </cell>
          <cell r="GI115">
            <v>0</v>
          </cell>
          <cell r="GJ115">
            <v>85</v>
          </cell>
          <cell r="GK115">
            <v>3772.3086750631574</v>
          </cell>
        </row>
        <row r="116">
          <cell r="GH116">
            <v>47695</v>
          </cell>
          <cell r="GI116">
            <v>0</v>
          </cell>
          <cell r="GJ116">
            <v>85</v>
          </cell>
          <cell r="GK116">
            <v>3772.3086750631574</v>
          </cell>
        </row>
        <row r="117">
          <cell r="GH117">
            <v>47726</v>
          </cell>
          <cell r="GI117">
            <v>0</v>
          </cell>
          <cell r="GJ117">
            <v>85</v>
          </cell>
          <cell r="GK117">
            <v>3772.3086750631574</v>
          </cell>
        </row>
        <row r="118">
          <cell r="GH118">
            <v>47756</v>
          </cell>
          <cell r="GI118">
            <v>0</v>
          </cell>
          <cell r="GJ118">
            <v>85</v>
          </cell>
          <cell r="GK118">
            <v>3772.3086750631574</v>
          </cell>
        </row>
        <row r="119">
          <cell r="GH119">
            <v>47787</v>
          </cell>
          <cell r="GI119">
            <v>0</v>
          </cell>
          <cell r="GJ119">
            <v>85</v>
          </cell>
          <cell r="GK119">
            <v>3772.3086750631574</v>
          </cell>
        </row>
        <row r="120">
          <cell r="GH120">
            <v>47817</v>
          </cell>
          <cell r="GI120">
            <v>0</v>
          </cell>
          <cell r="GJ120">
            <v>85</v>
          </cell>
          <cell r="GK120">
            <v>3772.3086750631574</v>
          </cell>
        </row>
        <row r="121">
          <cell r="GH121">
            <v>47848</v>
          </cell>
          <cell r="GI121">
            <v>0</v>
          </cell>
          <cell r="GJ121">
            <v>85</v>
          </cell>
          <cell r="GK121">
            <v>3772.3086750631574</v>
          </cell>
        </row>
        <row r="122">
          <cell r="GH122">
            <v>47879</v>
          </cell>
          <cell r="GI122">
            <v>0</v>
          </cell>
          <cell r="GJ122">
            <v>85</v>
          </cell>
          <cell r="GK122">
            <v>3772.3086750631574</v>
          </cell>
        </row>
        <row r="123">
          <cell r="GH123">
            <v>47907</v>
          </cell>
          <cell r="GI123">
            <v>0</v>
          </cell>
          <cell r="GJ123">
            <v>85</v>
          </cell>
          <cell r="GK123">
            <v>3772.3086750631574</v>
          </cell>
        </row>
        <row r="124">
          <cell r="GH124">
            <v>47938</v>
          </cell>
          <cell r="GI124">
            <v>0</v>
          </cell>
          <cell r="GJ124">
            <v>85</v>
          </cell>
          <cell r="GK124">
            <v>3772.3086750631574</v>
          </cell>
        </row>
        <row r="125">
          <cell r="GH125">
            <v>47968</v>
          </cell>
          <cell r="GI125">
            <v>0</v>
          </cell>
          <cell r="GJ125">
            <v>85</v>
          </cell>
          <cell r="GK125">
            <v>3772.3086750631574</v>
          </cell>
        </row>
        <row r="126">
          <cell r="GH126">
            <v>47999</v>
          </cell>
          <cell r="GI126">
            <v>0</v>
          </cell>
          <cell r="GJ126">
            <v>85</v>
          </cell>
          <cell r="GK126">
            <v>3772.3086750631574</v>
          </cell>
        </row>
        <row r="127">
          <cell r="GH127">
            <v>48029</v>
          </cell>
          <cell r="GI127">
            <v>0</v>
          </cell>
          <cell r="GJ127">
            <v>85</v>
          </cell>
          <cell r="GK127">
            <v>3772.3086750631574</v>
          </cell>
        </row>
        <row r="128">
          <cell r="GH128">
            <v>48060</v>
          </cell>
          <cell r="GI128">
            <v>0</v>
          </cell>
          <cell r="GJ128">
            <v>85</v>
          </cell>
          <cell r="GK128">
            <v>3772.3086750631574</v>
          </cell>
        </row>
        <row r="129">
          <cell r="GH129">
            <v>48091</v>
          </cell>
          <cell r="GI129">
            <v>0</v>
          </cell>
          <cell r="GJ129">
            <v>85</v>
          </cell>
          <cell r="GK129">
            <v>3772.3086750631574</v>
          </cell>
        </row>
        <row r="130">
          <cell r="GH130">
            <v>48121</v>
          </cell>
          <cell r="GI130">
            <v>0</v>
          </cell>
          <cell r="GJ130">
            <v>85</v>
          </cell>
          <cell r="GK130">
            <v>3772.3086750631574</v>
          </cell>
        </row>
        <row r="131">
          <cell r="GH131">
            <v>48152</v>
          </cell>
          <cell r="GI131">
            <v>0</v>
          </cell>
          <cell r="GJ131">
            <v>85</v>
          </cell>
          <cell r="GK131">
            <v>3772.3086750631574</v>
          </cell>
        </row>
        <row r="132">
          <cell r="GH132">
            <v>48182</v>
          </cell>
          <cell r="GI132">
            <v>0</v>
          </cell>
          <cell r="GJ132">
            <v>85</v>
          </cell>
          <cell r="GK132">
            <v>3772.3086750631574</v>
          </cell>
        </row>
        <row r="133">
          <cell r="GH133">
            <v>48213</v>
          </cell>
          <cell r="GI133">
            <v>0</v>
          </cell>
          <cell r="GJ133">
            <v>85</v>
          </cell>
          <cell r="GK133">
            <v>3772.3086750631574</v>
          </cell>
        </row>
        <row r="134">
          <cell r="GH134">
            <v>48244</v>
          </cell>
          <cell r="GI134">
            <v>0</v>
          </cell>
          <cell r="GJ134">
            <v>85</v>
          </cell>
          <cell r="GK134">
            <v>3772.3086750631574</v>
          </cell>
        </row>
        <row r="135">
          <cell r="GH135">
            <v>48273</v>
          </cell>
          <cell r="GI135">
            <v>0</v>
          </cell>
          <cell r="GJ135">
            <v>85</v>
          </cell>
          <cell r="GK135">
            <v>3772.3086750631574</v>
          </cell>
        </row>
        <row r="136">
          <cell r="GH136">
            <v>48304</v>
          </cell>
          <cell r="GI136">
            <v>0</v>
          </cell>
          <cell r="GJ136">
            <v>85</v>
          </cell>
          <cell r="GK136">
            <v>3772.3086750631574</v>
          </cell>
        </row>
        <row r="137">
          <cell r="GH137">
            <v>48334</v>
          </cell>
          <cell r="GI137">
            <v>0</v>
          </cell>
          <cell r="GJ137">
            <v>85</v>
          </cell>
          <cell r="GK137">
            <v>3772.3086750631574</v>
          </cell>
        </row>
        <row r="138">
          <cell r="GH138">
            <v>48365</v>
          </cell>
          <cell r="GI138">
            <v>0</v>
          </cell>
          <cell r="GJ138">
            <v>85</v>
          </cell>
          <cell r="GK138">
            <v>3772.3086750631574</v>
          </cell>
        </row>
        <row r="139">
          <cell r="GH139">
            <v>48395</v>
          </cell>
          <cell r="GI139">
            <v>0</v>
          </cell>
          <cell r="GJ139">
            <v>85</v>
          </cell>
          <cell r="GK139">
            <v>3772.3086750631574</v>
          </cell>
        </row>
        <row r="140">
          <cell r="GH140">
            <v>48426</v>
          </cell>
          <cell r="GI140">
            <v>0</v>
          </cell>
          <cell r="GJ140">
            <v>85</v>
          </cell>
          <cell r="GK140">
            <v>3772.3086750631574</v>
          </cell>
        </row>
        <row r="141">
          <cell r="GH141">
            <v>48457</v>
          </cell>
          <cell r="GI141">
            <v>0</v>
          </cell>
          <cell r="GJ141">
            <v>85</v>
          </cell>
          <cell r="GK141">
            <v>3772.3086750631574</v>
          </cell>
        </row>
        <row r="142">
          <cell r="GH142">
            <v>48487</v>
          </cell>
          <cell r="GI142">
            <v>0</v>
          </cell>
          <cell r="GJ142">
            <v>85</v>
          </cell>
          <cell r="GK142">
            <v>3772.3086750631574</v>
          </cell>
        </row>
        <row r="143">
          <cell r="GH143">
            <v>48518</v>
          </cell>
          <cell r="GI143">
            <v>0</v>
          </cell>
          <cell r="GJ143">
            <v>85</v>
          </cell>
          <cell r="GK143">
            <v>3772.3086750631574</v>
          </cell>
        </row>
        <row r="144">
          <cell r="GH144">
            <v>48548</v>
          </cell>
          <cell r="GI144">
            <v>0</v>
          </cell>
          <cell r="GJ144">
            <v>85</v>
          </cell>
          <cell r="GK144">
            <v>3772.3086750631574</v>
          </cell>
        </row>
        <row r="145">
          <cell r="GH145">
            <v>48579</v>
          </cell>
          <cell r="GI145">
            <v>0</v>
          </cell>
          <cell r="GJ145">
            <v>85</v>
          </cell>
          <cell r="GK145">
            <v>3772.3086750631574</v>
          </cell>
        </row>
        <row r="146">
          <cell r="GH146">
            <v>48610</v>
          </cell>
          <cell r="GI146">
            <v>0</v>
          </cell>
          <cell r="GJ146">
            <v>85</v>
          </cell>
          <cell r="GK146">
            <v>3772.3086750631574</v>
          </cell>
        </row>
        <row r="147">
          <cell r="GH147">
            <v>48638</v>
          </cell>
          <cell r="GI147">
            <v>0</v>
          </cell>
          <cell r="GJ147">
            <v>85</v>
          </cell>
          <cell r="GK147">
            <v>3772.3086750631574</v>
          </cell>
        </row>
        <row r="148">
          <cell r="GH148">
            <v>48669</v>
          </cell>
          <cell r="GI148">
            <v>0</v>
          </cell>
          <cell r="GJ148">
            <v>85</v>
          </cell>
          <cell r="GK148">
            <v>3772.3086750631574</v>
          </cell>
        </row>
        <row r="149">
          <cell r="GH149">
            <v>48699</v>
          </cell>
          <cell r="GI149">
            <v>0</v>
          </cell>
          <cell r="GJ149">
            <v>85</v>
          </cell>
          <cell r="GK149">
            <v>3772.3086750631574</v>
          </cell>
        </row>
        <row r="150">
          <cell r="GH150">
            <v>48730</v>
          </cell>
          <cell r="GI150">
            <v>0</v>
          </cell>
          <cell r="GJ150">
            <v>85</v>
          </cell>
          <cell r="GK150">
            <v>3772.3086750631574</v>
          </cell>
        </row>
        <row r="151">
          <cell r="GH151">
            <v>48760</v>
          </cell>
          <cell r="GI151">
            <v>0</v>
          </cell>
          <cell r="GJ151">
            <v>85</v>
          </cell>
          <cell r="GK151">
            <v>3772.3086750631574</v>
          </cell>
        </row>
        <row r="152">
          <cell r="GH152">
            <v>48791</v>
          </cell>
          <cell r="GI152">
            <v>0</v>
          </cell>
          <cell r="GJ152">
            <v>85</v>
          </cell>
          <cell r="GK152">
            <v>3772.3086750631574</v>
          </cell>
        </row>
        <row r="153">
          <cell r="GH153">
            <v>48822</v>
          </cell>
          <cell r="GI153">
            <v>0</v>
          </cell>
          <cell r="GJ153">
            <v>85</v>
          </cell>
          <cell r="GK153">
            <v>3772.3086750631574</v>
          </cell>
        </row>
        <row r="154">
          <cell r="GH154">
            <v>48852</v>
          </cell>
          <cell r="GI154">
            <v>0</v>
          </cell>
          <cell r="GJ154">
            <v>85</v>
          </cell>
          <cell r="GK154">
            <v>3772.3086750631574</v>
          </cell>
        </row>
        <row r="155">
          <cell r="GH155">
            <v>48883</v>
          </cell>
          <cell r="GI155">
            <v>0</v>
          </cell>
          <cell r="GJ155">
            <v>85</v>
          </cell>
          <cell r="GK155">
            <v>3772.3086750631574</v>
          </cell>
        </row>
        <row r="156">
          <cell r="GH156">
            <v>48913</v>
          </cell>
          <cell r="GI156">
            <v>0</v>
          </cell>
          <cell r="GJ156">
            <v>85</v>
          </cell>
          <cell r="GK156">
            <v>3772.3086750631574</v>
          </cell>
        </row>
        <row r="157">
          <cell r="GH157">
            <v>48944</v>
          </cell>
          <cell r="GI157">
            <v>0</v>
          </cell>
          <cell r="GJ157">
            <v>85</v>
          </cell>
          <cell r="GK157">
            <v>3772.3086750631574</v>
          </cell>
        </row>
        <row r="158">
          <cell r="GH158">
            <v>48975</v>
          </cell>
          <cell r="GI158">
            <v>0</v>
          </cell>
          <cell r="GJ158">
            <v>85</v>
          </cell>
          <cell r="GK158">
            <v>3772.3086750631574</v>
          </cell>
        </row>
        <row r="159">
          <cell r="GH159">
            <v>49003</v>
          </cell>
          <cell r="GI159">
            <v>0</v>
          </cell>
          <cell r="GJ159">
            <v>85</v>
          </cell>
          <cell r="GK159">
            <v>3772.3086750631574</v>
          </cell>
        </row>
        <row r="160">
          <cell r="GH160">
            <v>49034</v>
          </cell>
          <cell r="GI160">
            <v>0</v>
          </cell>
          <cell r="GJ160">
            <v>85</v>
          </cell>
          <cell r="GK160">
            <v>3772.3086750631574</v>
          </cell>
        </row>
        <row r="161">
          <cell r="GH161">
            <v>49064</v>
          </cell>
          <cell r="GI161">
            <v>0</v>
          </cell>
          <cell r="GJ161">
            <v>85</v>
          </cell>
          <cell r="GK161">
            <v>3772.3086750631574</v>
          </cell>
        </row>
        <row r="162">
          <cell r="GH162">
            <v>49095</v>
          </cell>
          <cell r="GI162">
            <v>0</v>
          </cell>
          <cell r="GJ162">
            <v>85</v>
          </cell>
          <cell r="GK162">
            <v>3772.3086750631574</v>
          </cell>
        </row>
        <row r="163">
          <cell r="GH163">
            <v>49125</v>
          </cell>
          <cell r="GI163">
            <v>0</v>
          </cell>
          <cell r="GJ163">
            <v>85</v>
          </cell>
          <cell r="GK163">
            <v>3772.3086750631574</v>
          </cell>
        </row>
        <row r="164">
          <cell r="GH164">
            <v>49156</v>
          </cell>
          <cell r="GI164">
            <v>0</v>
          </cell>
          <cell r="GJ164">
            <v>85</v>
          </cell>
          <cell r="GK164">
            <v>3772.3086750631574</v>
          </cell>
        </row>
        <row r="165">
          <cell r="GH165">
            <v>49187</v>
          </cell>
          <cell r="GI165">
            <v>0</v>
          </cell>
          <cell r="GJ165">
            <v>85</v>
          </cell>
          <cell r="GK165">
            <v>3772.3086750631574</v>
          </cell>
        </row>
        <row r="166">
          <cell r="GH166">
            <v>49217</v>
          </cell>
          <cell r="GI166">
            <v>0</v>
          </cell>
          <cell r="GJ166">
            <v>85</v>
          </cell>
          <cell r="GK166">
            <v>3772.3086750631574</v>
          </cell>
        </row>
        <row r="167">
          <cell r="GH167">
            <v>49248</v>
          </cell>
          <cell r="GI167">
            <v>0</v>
          </cell>
          <cell r="GJ167">
            <v>85</v>
          </cell>
          <cell r="GK167">
            <v>3772.3086750631574</v>
          </cell>
        </row>
        <row r="168">
          <cell r="GH168">
            <v>49278</v>
          </cell>
          <cell r="GI168">
            <v>0</v>
          </cell>
          <cell r="GJ168">
            <v>85</v>
          </cell>
          <cell r="GK168">
            <v>3772.3086750631574</v>
          </cell>
        </row>
        <row r="169">
          <cell r="GH169">
            <v>49309</v>
          </cell>
          <cell r="GI169">
            <v>0</v>
          </cell>
          <cell r="GJ169">
            <v>85</v>
          </cell>
          <cell r="GK169">
            <v>3772.3086750631574</v>
          </cell>
        </row>
        <row r="170">
          <cell r="GH170">
            <v>49340</v>
          </cell>
          <cell r="GI170">
            <v>0</v>
          </cell>
          <cell r="GJ170">
            <v>85</v>
          </cell>
          <cell r="GK170">
            <v>3772.3086750631574</v>
          </cell>
        </row>
        <row r="171">
          <cell r="GH171">
            <v>49368</v>
          </cell>
          <cell r="GI171">
            <v>0</v>
          </cell>
          <cell r="GJ171">
            <v>85</v>
          </cell>
          <cell r="GK171">
            <v>3772.3086750631574</v>
          </cell>
        </row>
        <row r="172">
          <cell r="GH172">
            <v>49399</v>
          </cell>
          <cell r="GI172">
            <v>0</v>
          </cell>
          <cell r="GJ172">
            <v>85</v>
          </cell>
          <cell r="GK172">
            <v>3772.3086750631574</v>
          </cell>
        </row>
        <row r="173">
          <cell r="GH173">
            <v>49429</v>
          </cell>
          <cell r="GI173">
            <v>0</v>
          </cell>
          <cell r="GJ173">
            <v>85</v>
          </cell>
          <cell r="GK173">
            <v>3772.3086750631574</v>
          </cell>
        </row>
        <row r="174">
          <cell r="GH174">
            <v>49460</v>
          </cell>
          <cell r="GI174">
            <v>0</v>
          </cell>
          <cell r="GJ174">
            <v>85</v>
          </cell>
          <cell r="GK174">
            <v>3772.3086750631574</v>
          </cell>
        </row>
        <row r="175">
          <cell r="GH175">
            <v>49490</v>
          </cell>
          <cell r="GI175">
            <v>0</v>
          </cell>
          <cell r="GJ175">
            <v>85</v>
          </cell>
          <cell r="GK175">
            <v>3772.3086750631574</v>
          </cell>
        </row>
        <row r="176">
          <cell r="GH176">
            <v>49521</v>
          </cell>
          <cell r="GI176">
            <v>0</v>
          </cell>
          <cell r="GJ176">
            <v>85</v>
          </cell>
          <cell r="GK176">
            <v>3772.3086750631574</v>
          </cell>
        </row>
        <row r="177">
          <cell r="GH177">
            <v>49552</v>
          </cell>
          <cell r="GI177">
            <v>0</v>
          </cell>
          <cell r="GJ177">
            <v>85</v>
          </cell>
          <cell r="GK177">
            <v>3772.3086750631574</v>
          </cell>
        </row>
        <row r="178">
          <cell r="GH178">
            <v>49582</v>
          </cell>
          <cell r="GI178">
            <v>0</v>
          </cell>
          <cell r="GJ178">
            <v>85</v>
          </cell>
          <cell r="GK178">
            <v>3772.3086750631574</v>
          </cell>
        </row>
        <row r="179">
          <cell r="GH179">
            <v>49613</v>
          </cell>
          <cell r="GI179">
            <v>0</v>
          </cell>
          <cell r="GJ179">
            <v>85</v>
          </cell>
          <cell r="GK179">
            <v>3772.3086750631574</v>
          </cell>
        </row>
        <row r="180">
          <cell r="GH180">
            <v>49643</v>
          </cell>
          <cell r="GI180">
            <v>0</v>
          </cell>
          <cell r="GJ180">
            <v>85</v>
          </cell>
          <cell r="GK180">
            <v>3772.3086750631574</v>
          </cell>
        </row>
        <row r="181">
          <cell r="GH181">
            <v>49674</v>
          </cell>
          <cell r="GI181">
            <v>0</v>
          </cell>
          <cell r="GJ181">
            <v>85</v>
          </cell>
          <cell r="GK181">
            <v>3772.3086750631574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36">
          <cell r="P36">
            <v>32152.496814096121</v>
          </cell>
          <cell r="Q36">
            <v>41751.371552379649</v>
          </cell>
          <cell r="R36">
            <v>56708.877941322768</v>
          </cell>
          <cell r="S36">
            <v>86678.625068278066</v>
          </cell>
          <cell r="T36">
            <v>146434.23297594747</v>
          </cell>
          <cell r="U36">
            <v>216258.81805814951</v>
          </cell>
          <cell r="V36">
            <v>277255.84259633528</v>
          </cell>
          <cell r="W36">
            <v>541926.4627454204</v>
          </cell>
          <cell r="X36">
            <v>639184.89312011166</v>
          </cell>
          <cell r="Y36">
            <v>829094.04945863341</v>
          </cell>
          <cell r="Z36">
            <v>1022963.8261949458</v>
          </cell>
          <cell r="AA36">
            <v>1196664.1914676884</v>
          </cell>
          <cell r="AB36">
            <v>1410122.2395363846</v>
          </cell>
          <cell r="AC36">
            <v>1998638.7336462603</v>
          </cell>
          <cell r="AD36">
            <v>2206126.9617547332</v>
          </cell>
          <cell r="AE36">
            <v>2909331.2260384969</v>
          </cell>
          <cell r="AF36">
            <v>3556203.2914338531</v>
          </cell>
          <cell r="AG36">
            <v>4268718.1436657934</v>
          </cell>
          <cell r="AH36">
            <v>4559043.3570608944</v>
          </cell>
          <cell r="AI36">
            <v>4929848.0472712051</v>
          </cell>
          <cell r="AJ36">
            <v>4649531.4555318905</v>
          </cell>
          <cell r="AK36">
            <v>5643853.9118216047</v>
          </cell>
          <cell r="AL36">
            <v>7774459.3111002622</v>
          </cell>
          <cell r="AM36">
            <v>7512029.4956470253</v>
          </cell>
          <cell r="AN36">
            <v>8743655.0812087189</v>
          </cell>
          <cell r="AO36">
            <v>8904715.7913240846</v>
          </cell>
          <cell r="AP36">
            <v>8519013.7498736791</v>
          </cell>
          <cell r="AQ36">
            <v>9183673.050590748</v>
          </cell>
          <cell r="AR36">
            <v>9938118.1121979877</v>
          </cell>
          <cell r="AS36">
            <v>11283964.401039978</v>
          </cell>
          <cell r="AT36">
            <v>12265374.645552944</v>
          </cell>
          <cell r="AU36">
            <v>16179931.137456592</v>
          </cell>
          <cell r="AV36">
            <v>12744083.83410003</v>
          </cell>
          <cell r="AW36">
            <v>12285591.915862696</v>
          </cell>
          <cell r="AX36">
            <v>11951758.774191687</v>
          </cell>
          <cell r="AY36">
            <v>12792299.851418836</v>
          </cell>
          <cell r="AZ36">
            <v>14824148.65180373</v>
          </cell>
          <cell r="BA36">
            <v>18820330.503307976</v>
          </cell>
          <cell r="BB36">
            <v>19444514.956776444</v>
          </cell>
          <cell r="BC36">
            <v>19650303.354416959</v>
          </cell>
          <cell r="BD36">
            <v>16651035.830870457</v>
          </cell>
          <cell r="BE36">
            <v>17165351.347368021</v>
          </cell>
          <cell r="BF36">
            <v>19940520.006242588</v>
          </cell>
          <cell r="BG36">
            <v>21060037.374040749</v>
          </cell>
          <cell r="BH36">
            <v>24701594.15345373</v>
          </cell>
        </row>
        <row r="37">
          <cell r="P37">
            <v>33332.983076924625</v>
          </cell>
          <cell r="Q37">
            <v>55568.230804212377</v>
          </cell>
          <cell r="R37">
            <v>92942.444333240433</v>
          </cell>
          <cell r="S37">
            <v>133100.93848738074</v>
          </cell>
          <cell r="T37">
            <v>205487.72164659121</v>
          </cell>
          <cell r="U37">
            <v>248825.40281122879</v>
          </cell>
          <cell r="V37">
            <v>335124.06371441158</v>
          </cell>
          <cell r="W37">
            <v>631200.54775521194</v>
          </cell>
          <cell r="X37">
            <v>829551.34511660482</v>
          </cell>
          <cell r="Y37">
            <v>1106794.2985610645</v>
          </cell>
          <cell r="Z37">
            <v>1309164.4054644916</v>
          </cell>
          <cell r="AA37">
            <v>1590845.796041203</v>
          </cell>
          <cell r="AB37">
            <v>1457649.9014320024</v>
          </cell>
          <cell r="AC37">
            <v>1606926.3673533935</v>
          </cell>
          <cell r="AD37">
            <v>1786731.1675841871</v>
          </cell>
          <cell r="AE37">
            <v>1910655.3466818908</v>
          </cell>
          <cell r="AF37">
            <v>1995168.6196067322</v>
          </cell>
          <cell r="AG37">
            <v>2182788.8686609399</v>
          </cell>
          <cell r="AH37">
            <v>2775578.2940115985</v>
          </cell>
          <cell r="AI37">
            <v>3236031.4979595141</v>
          </cell>
          <cell r="AJ37">
            <v>2650782.0556496689</v>
          </cell>
          <cell r="AK37">
            <v>3305733.0305539318</v>
          </cell>
          <cell r="AL37">
            <v>3480073.6556148143</v>
          </cell>
          <cell r="AM37">
            <v>4002464.4853061764</v>
          </cell>
          <cell r="AN37">
            <v>4845734.520188977</v>
          </cell>
          <cell r="AO37">
            <v>7312253.4489550618</v>
          </cell>
          <cell r="AP37">
            <v>9133541.0041663814</v>
          </cell>
          <cell r="AQ37">
            <v>9314875.3722067196</v>
          </cell>
          <cell r="AR37">
            <v>11100024.451434465</v>
          </cell>
          <cell r="AS37">
            <v>10136058.378917368</v>
          </cell>
          <cell r="AT37">
            <v>10170880.741452986</v>
          </cell>
          <cell r="AU37">
            <v>7588462.899127488</v>
          </cell>
          <cell r="AV37">
            <v>9589648.7024547681</v>
          </cell>
          <cell r="AW37">
            <v>10455895.45738269</v>
          </cell>
          <cell r="AX37">
            <v>13203792.282437425</v>
          </cell>
          <cell r="AY37">
            <v>16395901.996049372</v>
          </cell>
          <cell r="AZ37">
            <v>20050406.469990976</v>
          </cell>
          <cell r="BA37">
            <v>25750590.134707514</v>
          </cell>
          <cell r="BB37">
            <v>28052320.697722133</v>
          </cell>
          <cell r="BC37">
            <v>36201050.111794412</v>
          </cell>
          <cell r="BD37">
            <v>48716342.685669124</v>
          </cell>
          <cell r="BE37">
            <v>57306011.939903237</v>
          </cell>
          <cell r="BF37">
            <v>50296770.097845964</v>
          </cell>
          <cell r="BG37">
            <v>53524812.978312373</v>
          </cell>
          <cell r="BH37">
            <v>60288982.245820612</v>
          </cell>
        </row>
        <row r="38">
          <cell r="P38">
            <v>32263.103339243353</v>
          </cell>
          <cell r="Q38">
            <v>51762.926065783409</v>
          </cell>
          <cell r="R38">
            <v>89042.669998239056</v>
          </cell>
          <cell r="S38">
            <v>114569.31311978272</v>
          </cell>
          <cell r="T38">
            <v>205243.6285853599</v>
          </cell>
          <cell r="U38">
            <v>320641.7715156565</v>
          </cell>
          <cell r="V38">
            <v>485651.29840219219</v>
          </cell>
          <cell r="W38">
            <v>1193750.2535997976</v>
          </cell>
          <cell r="X38">
            <v>1409106.4597361558</v>
          </cell>
          <cell r="Y38">
            <v>1413327.7094131915</v>
          </cell>
          <cell r="Z38">
            <v>1501022.3174828095</v>
          </cell>
          <cell r="AA38">
            <v>1663413.7480748105</v>
          </cell>
          <cell r="AB38">
            <v>2256488.0142446663</v>
          </cell>
          <cell r="AC38">
            <v>2723970.4696219773</v>
          </cell>
          <cell r="AD38">
            <v>3727495.7643753546</v>
          </cell>
          <cell r="AE38">
            <v>3047960.8399788984</v>
          </cell>
          <cell r="AF38">
            <v>3475152.9792366899</v>
          </cell>
          <cell r="AG38">
            <v>3498760.5881162025</v>
          </cell>
          <cell r="AH38">
            <v>3584549.0233961446</v>
          </cell>
          <cell r="AI38">
            <v>2928473.2068280107</v>
          </cell>
          <cell r="AJ38">
            <v>2918680.0287542134</v>
          </cell>
          <cell r="AK38">
            <v>3286239.7779023647</v>
          </cell>
          <cell r="AL38">
            <v>4180308.4199367799</v>
          </cell>
          <cell r="AM38">
            <v>3886357.2375561772</v>
          </cell>
          <cell r="AN38">
            <v>5478053.29606215</v>
          </cell>
          <cell r="AO38">
            <v>5567542.7592796972</v>
          </cell>
          <cell r="AP38">
            <v>5188938.5799541501</v>
          </cell>
          <cell r="AQ38">
            <v>6680250.4993542768</v>
          </cell>
          <cell r="AR38">
            <v>7742122.3410179289</v>
          </cell>
          <cell r="AS38">
            <v>8243963.8555646753</v>
          </cell>
          <cell r="AT38">
            <v>6526327.3718852587</v>
          </cell>
          <cell r="AU38">
            <v>8046360.4980237223</v>
          </cell>
          <cell r="AV38">
            <v>8552736.847280452</v>
          </cell>
          <cell r="AW38">
            <v>9913457.9497367311</v>
          </cell>
          <cell r="AX38">
            <v>10550277.944699628</v>
          </cell>
          <cell r="AY38">
            <v>8217202.9967740159</v>
          </cell>
          <cell r="AZ38">
            <v>8357353.1690725544</v>
          </cell>
          <cell r="BA38">
            <v>9858864.42888573</v>
          </cell>
          <cell r="BB38">
            <v>13530314.214080783</v>
          </cell>
          <cell r="BC38">
            <v>15452137.057426265</v>
          </cell>
          <cell r="BD38">
            <v>18265188.407351848</v>
          </cell>
          <cell r="BE38">
            <v>24470863.050503179</v>
          </cell>
          <cell r="BF38">
            <v>29629780.073125515</v>
          </cell>
          <cell r="BG38">
            <v>24846995.03149933</v>
          </cell>
          <cell r="BH38">
            <v>28513101.230151847</v>
          </cell>
        </row>
        <row r="39">
          <cell r="P39">
            <v>25132.800316823752</v>
          </cell>
          <cell r="Q39">
            <v>54164.431015212227</v>
          </cell>
          <cell r="R39">
            <v>87181.630645632467</v>
          </cell>
          <cell r="S39">
            <v>91107.782005771543</v>
          </cell>
          <cell r="T39">
            <v>109493.11287725806</v>
          </cell>
          <cell r="U39">
            <v>129617.04356199107</v>
          </cell>
          <cell r="V39">
            <v>135959.88153517895</v>
          </cell>
          <cell r="W39">
            <v>715667.30060599837</v>
          </cell>
          <cell r="X39">
            <v>715974.67452310689</v>
          </cell>
          <cell r="Y39">
            <v>931323.59270533524</v>
          </cell>
          <cell r="Z39">
            <v>1005986.5147626183</v>
          </cell>
          <cell r="AA39">
            <v>1154330.8886164571</v>
          </cell>
          <cell r="AB39">
            <v>1592582.3913053041</v>
          </cell>
          <cell r="AC39">
            <v>1272947.4899306647</v>
          </cell>
          <cell r="AD39">
            <v>1328481.1372353481</v>
          </cell>
          <cell r="AE39">
            <v>1524741.8517619171</v>
          </cell>
          <cell r="AF39">
            <v>1782383.1552712482</v>
          </cell>
          <cell r="AG39">
            <v>2017861.5182868433</v>
          </cell>
          <cell r="AH39">
            <v>2143121.5303766173</v>
          </cell>
          <cell r="AI39">
            <v>1378560.4287276852</v>
          </cell>
          <cell r="AJ39">
            <v>1519654.6848466767</v>
          </cell>
          <cell r="AK39">
            <v>1693870.2240663646</v>
          </cell>
          <cell r="AL39">
            <v>1777520.5451603951</v>
          </cell>
          <cell r="AM39">
            <v>2500037.6556256544</v>
          </cell>
          <cell r="AN39">
            <v>2567233.0381306689</v>
          </cell>
          <cell r="AO39">
            <v>2926254.5116290068</v>
          </cell>
          <cell r="AP39">
            <v>3005780.3114855886</v>
          </cell>
          <cell r="AQ39">
            <v>3195259.8893687851</v>
          </cell>
          <cell r="AR39">
            <v>4123524.0496763503</v>
          </cell>
          <cell r="AS39">
            <v>5628760.7021944895</v>
          </cell>
          <cell r="AT39">
            <v>6887327.6229398008</v>
          </cell>
          <cell r="AU39">
            <v>7886893.6803429015</v>
          </cell>
          <cell r="AV39">
            <v>6365144.9126163609</v>
          </cell>
          <cell r="AW39">
            <v>7949249.7412294289</v>
          </cell>
          <cell r="AX39">
            <v>7460096.8935219301</v>
          </cell>
          <cell r="AY39">
            <v>8893631.7301846649</v>
          </cell>
          <cell r="AZ39">
            <v>10178026.458599249</v>
          </cell>
          <cell r="BA39">
            <v>9556890.1952117644</v>
          </cell>
          <cell r="BB39">
            <v>9821977.6581741609</v>
          </cell>
          <cell r="BC39">
            <v>10644350.305680525</v>
          </cell>
          <cell r="BD39">
            <v>11381432.575692868</v>
          </cell>
          <cell r="BE39">
            <v>13533384.553751796</v>
          </cell>
          <cell r="BF39">
            <v>17581086.207412347</v>
          </cell>
          <cell r="BG39">
            <v>23067410.677344047</v>
          </cell>
          <cell r="BH39">
            <v>17101473.014232412</v>
          </cell>
        </row>
        <row r="40">
          <cell r="P40">
            <v>35765.795451545178</v>
          </cell>
          <cell r="Q40">
            <v>39369.374322674354</v>
          </cell>
          <cell r="R40">
            <v>74047.223251734278</v>
          </cell>
          <cell r="S40">
            <v>90035.035771962372</v>
          </cell>
          <cell r="T40">
            <v>128767.2052528529</v>
          </cell>
          <cell r="U40">
            <v>139830.24207187438</v>
          </cell>
          <cell r="V40">
            <v>193490.01445820407</v>
          </cell>
          <cell r="W40">
            <v>739776.09457947302</v>
          </cell>
          <cell r="X40">
            <v>937104.53520102624</v>
          </cell>
          <cell r="Y40">
            <v>1063780.7613998912</v>
          </cell>
          <cell r="Z40">
            <v>848572.12614939315</v>
          </cell>
          <cell r="AA40">
            <v>1103296.6409332696</v>
          </cell>
          <cell r="AB40">
            <v>1223202.4264621716</v>
          </cell>
          <cell r="AC40">
            <v>1482307.9152842329</v>
          </cell>
          <cell r="AD40">
            <v>1775693.1434422676</v>
          </cell>
          <cell r="AE40">
            <v>1980892.4189573696</v>
          </cell>
          <cell r="AF40">
            <v>2467529.4221884091</v>
          </cell>
          <cell r="AG40">
            <v>3262269.2573048156</v>
          </cell>
          <cell r="AH40">
            <v>4042789.5809565228</v>
          </cell>
          <cell r="AI40">
            <v>3877538.1646973118</v>
          </cell>
          <cell r="AJ40">
            <v>3949381.7936429894</v>
          </cell>
          <cell r="AK40">
            <v>4008736.3741113204</v>
          </cell>
          <cell r="AL40">
            <v>4721322.1024478758</v>
          </cell>
          <cell r="AM40">
            <v>4521386.9257698534</v>
          </cell>
          <cell r="AN40">
            <v>4923771.7752864258</v>
          </cell>
          <cell r="AO40">
            <v>5622855.8453416582</v>
          </cell>
          <cell r="AP40">
            <v>6200569.5948097762</v>
          </cell>
          <cell r="AQ40">
            <v>6485742.0335021811</v>
          </cell>
          <cell r="AR40">
            <v>8476310.3768123947</v>
          </cell>
          <cell r="AS40">
            <v>9689168.0279721338</v>
          </cell>
          <cell r="AT40">
            <v>10164701.382531742</v>
          </cell>
          <cell r="AU40">
            <v>11046411.042955918</v>
          </cell>
          <cell r="AV40">
            <v>12661277.352808766</v>
          </cell>
          <cell r="AW40">
            <v>14135731.802583285</v>
          </cell>
          <cell r="AX40">
            <v>17177581.423930068</v>
          </cell>
          <cell r="AY40">
            <v>19709682.847421661</v>
          </cell>
          <cell r="AZ40">
            <v>24473340.453829583</v>
          </cell>
          <cell r="BA40">
            <v>27794401.004397608</v>
          </cell>
          <cell r="BB40">
            <v>29313501.480598535</v>
          </cell>
          <cell r="BC40">
            <v>29664656.323619157</v>
          </cell>
          <cell r="BD40">
            <v>30210514.886460096</v>
          </cell>
          <cell r="BE40">
            <v>40312300.640185639</v>
          </cell>
          <cell r="BF40">
            <v>50001717.376927122</v>
          </cell>
          <cell r="BG40">
            <v>68633154.041487157</v>
          </cell>
          <cell r="BH40">
            <v>73992261.922239438</v>
          </cell>
        </row>
        <row r="41">
          <cell r="P41">
            <v>38527.660290678927</v>
          </cell>
          <cell r="Q41">
            <v>57841.571993795034</v>
          </cell>
          <cell r="R41">
            <v>76906.064817549443</v>
          </cell>
          <cell r="S41">
            <v>114141.64299319478</v>
          </cell>
          <cell r="T41">
            <v>146110.0892532015</v>
          </cell>
          <cell r="U41">
            <v>163238.84072399139</v>
          </cell>
          <cell r="V41">
            <v>240567.18504234726</v>
          </cell>
          <cell r="W41">
            <v>741369.73163160542</v>
          </cell>
          <cell r="X41">
            <v>1101725.5044524015</v>
          </cell>
          <cell r="Y41">
            <v>1187444.5948600133</v>
          </cell>
          <cell r="Z41">
            <v>1557999.1913275095</v>
          </cell>
          <cell r="AA41">
            <v>1721514.4717777818</v>
          </cell>
          <cell r="AB41">
            <v>1702045.5628788578</v>
          </cell>
          <cell r="AC41">
            <v>2116943.4575363472</v>
          </cell>
          <cell r="AD41">
            <v>2402898.022951154</v>
          </cell>
          <cell r="AE41">
            <v>3217555.7583423462</v>
          </cell>
          <cell r="AF41">
            <v>2654170.8563985247</v>
          </cell>
          <cell r="AG41">
            <v>2904398.2648572605</v>
          </cell>
          <cell r="AH41">
            <v>2409395.6070510605</v>
          </cell>
          <cell r="AI41">
            <v>2944371.4620829853</v>
          </cell>
          <cell r="AJ41">
            <v>3629604.2030553552</v>
          </cell>
          <cell r="AK41">
            <v>4288495.917632224</v>
          </cell>
          <cell r="AL41">
            <v>5901556.9685487757</v>
          </cell>
          <cell r="AM41">
            <v>8030013.8633904355</v>
          </cell>
          <cell r="AN41">
            <v>9502608.4063681401</v>
          </cell>
          <cell r="AO41">
            <v>9925651.081905745</v>
          </cell>
          <cell r="AP41">
            <v>12409711.192163307</v>
          </cell>
          <cell r="AQ41">
            <v>15550747.419362256</v>
          </cell>
          <cell r="AR41">
            <v>18069341.454512823</v>
          </cell>
          <cell r="AS41">
            <v>20025934.768028565</v>
          </cell>
          <cell r="AT41">
            <v>19467042.296226829</v>
          </cell>
          <cell r="AU41">
            <v>21454830.23865775</v>
          </cell>
          <cell r="AV41">
            <v>27014032.014171533</v>
          </cell>
          <cell r="AW41">
            <v>24321155.652323227</v>
          </cell>
          <cell r="AX41">
            <v>30000915.055949979</v>
          </cell>
          <cell r="AY41">
            <v>28161371.194038883</v>
          </cell>
          <cell r="AZ41">
            <v>28394992.379184511</v>
          </cell>
          <cell r="BA41">
            <v>35727565.320105277</v>
          </cell>
          <cell r="BB41">
            <v>38883057.019148491</v>
          </cell>
          <cell r="BC41">
            <v>39094072.295605093</v>
          </cell>
          <cell r="BD41">
            <v>45283742.897501439</v>
          </cell>
          <cell r="BE41">
            <v>48439182.5783334</v>
          </cell>
          <cell r="BF41">
            <v>52909957.887456849</v>
          </cell>
          <cell r="BG41">
            <v>65917485.484613076</v>
          </cell>
          <cell r="BH41">
            <v>96411303.642905354</v>
          </cell>
        </row>
        <row r="42">
          <cell r="P42">
            <v>31440.62901741008</v>
          </cell>
          <cell r="Q42">
            <v>53669.208424993558</v>
          </cell>
          <cell r="R42">
            <v>93029.311651514028</v>
          </cell>
          <cell r="S42">
            <v>114054.50364986257</v>
          </cell>
          <cell r="T42">
            <v>147556.93788536612</v>
          </cell>
          <cell r="U42">
            <v>184287.20322192716</v>
          </cell>
          <cell r="V42">
            <v>229216.66071101633</v>
          </cell>
          <cell r="W42">
            <v>670215.53022009437</v>
          </cell>
          <cell r="X42">
            <v>1077558.8065631601</v>
          </cell>
          <cell r="Y42">
            <v>1186148.8628242901</v>
          </cell>
          <cell r="Z42">
            <v>1468681.4441325986</v>
          </cell>
          <cell r="AA42">
            <v>1555290.5787424489</v>
          </cell>
          <cell r="AB42">
            <v>1620836.6027891499</v>
          </cell>
          <cell r="AC42">
            <v>1730937.0345942583</v>
          </cell>
          <cell r="AD42">
            <v>2218868.6851859335</v>
          </cell>
          <cell r="AE42">
            <v>2719757.131124163</v>
          </cell>
          <cell r="AF42">
            <v>2471002.7320081056</v>
          </cell>
          <cell r="AG42">
            <v>2694883.1016478669</v>
          </cell>
          <cell r="AH42">
            <v>3067560.4507476157</v>
          </cell>
          <cell r="AI42">
            <v>3189786.3444056986</v>
          </cell>
          <cell r="AJ42">
            <v>3519777.7259289487</v>
          </cell>
          <cell r="AK42">
            <v>4183137.1425038292</v>
          </cell>
          <cell r="AL42">
            <v>5049202.6872369973</v>
          </cell>
          <cell r="AM42">
            <v>5006047.5126347244</v>
          </cell>
          <cell r="AN42">
            <v>4809314.5230072262</v>
          </cell>
          <cell r="AO42">
            <v>4947003.5919200322</v>
          </cell>
          <cell r="AP42">
            <v>6244337.1589721013</v>
          </cell>
          <cell r="AQ42">
            <v>6301104.2900999608</v>
          </cell>
          <cell r="AR42">
            <v>5576794.7937275609</v>
          </cell>
          <cell r="AS42">
            <v>5560549.9896744676</v>
          </cell>
          <cell r="AT42">
            <v>7294990.1051964732</v>
          </cell>
          <cell r="AU42">
            <v>8529281.9984627906</v>
          </cell>
          <cell r="AV42">
            <v>8697344.7426502667</v>
          </cell>
          <cell r="AW42">
            <v>7787137.3668197086</v>
          </cell>
          <cell r="AX42">
            <v>6991966.8263231348</v>
          </cell>
          <cell r="AY42">
            <v>7996353.3602901632</v>
          </cell>
          <cell r="AZ42">
            <v>9025847.2275178749</v>
          </cell>
          <cell r="BA42">
            <v>9590298.4195828196</v>
          </cell>
          <cell r="BB42">
            <v>9393599.2445392087</v>
          </cell>
          <cell r="BC42">
            <v>9478414.0881899092</v>
          </cell>
          <cell r="BD42">
            <v>9242357.8905175682</v>
          </cell>
          <cell r="BE42">
            <v>9567554.5834710654</v>
          </cell>
          <cell r="BF42">
            <v>11321462.382227618</v>
          </cell>
          <cell r="BG42">
            <v>14277870.333356377</v>
          </cell>
          <cell r="BH42">
            <v>16448920.18668819</v>
          </cell>
        </row>
        <row r="43">
          <cell r="P43">
            <v>34553.110311462318</v>
          </cell>
          <cell r="Q43">
            <v>62506.404371563731</v>
          </cell>
          <cell r="R43">
            <v>87403.180869155491</v>
          </cell>
          <cell r="S43">
            <v>121156.03676167926</v>
          </cell>
          <cell r="T43">
            <v>167302.56383888106</v>
          </cell>
          <cell r="U43">
            <v>151956.45490293781</v>
          </cell>
          <cell r="V43">
            <v>219475.8765414565</v>
          </cell>
          <cell r="W43">
            <v>705142.94172762125</v>
          </cell>
          <cell r="X43">
            <v>729753.07089369814</v>
          </cell>
          <cell r="Y43">
            <v>799349.47381977411</v>
          </cell>
          <cell r="Z43">
            <v>797253.91121956182</v>
          </cell>
          <cell r="AA43">
            <v>773909.45322839031</v>
          </cell>
          <cell r="AB43">
            <v>1003835.2051476613</v>
          </cell>
          <cell r="AC43">
            <v>1159455.1409063432</v>
          </cell>
          <cell r="AD43">
            <v>1305730.9468419061</v>
          </cell>
          <cell r="AE43">
            <v>1680262.0973122581</v>
          </cell>
          <cell r="AF43">
            <v>1665171.569672842</v>
          </cell>
          <cell r="AG43">
            <v>2042148.7674479864</v>
          </cell>
          <cell r="AH43">
            <v>2269129.8610122325</v>
          </cell>
          <cell r="AI43">
            <v>2320179.8647886869</v>
          </cell>
          <cell r="AJ43">
            <v>2660523.6638995968</v>
          </cell>
          <cell r="AK43">
            <v>3218061.7822528905</v>
          </cell>
          <cell r="AL43">
            <v>4035322.7025602078</v>
          </cell>
          <cell r="AM43">
            <v>3027634.5796645321</v>
          </cell>
          <cell r="AN43">
            <v>3119002.8364897296</v>
          </cell>
          <cell r="AO43">
            <v>3073450.4624095657</v>
          </cell>
          <cell r="AP43">
            <v>3455601.7711769324</v>
          </cell>
          <cell r="AQ43">
            <v>4033405.6113856314</v>
          </cell>
          <cell r="AR43">
            <v>4225707.166728057</v>
          </cell>
          <cell r="AS43">
            <v>4444375.2461842466</v>
          </cell>
          <cell r="AT43">
            <v>4627592.3028508043</v>
          </cell>
          <cell r="AU43">
            <v>5127677.1258318732</v>
          </cell>
          <cell r="AV43">
            <v>5964530.7624130342</v>
          </cell>
          <cell r="AW43">
            <v>7917966.3886586977</v>
          </cell>
          <cell r="AX43">
            <v>10557491.577138534</v>
          </cell>
          <cell r="AY43">
            <v>12411098.838596988</v>
          </cell>
          <cell r="AZ43">
            <v>13190837.335823355</v>
          </cell>
          <cell r="BA43">
            <v>14245496.994788721</v>
          </cell>
          <cell r="BB43">
            <v>13707594.406075556</v>
          </cell>
          <cell r="BC43">
            <v>12569167.665456412</v>
          </cell>
          <cell r="BD43">
            <v>11924714.236646451</v>
          </cell>
          <cell r="BE43">
            <v>14908381.683847465</v>
          </cell>
          <cell r="BF43">
            <v>18022363.284843501</v>
          </cell>
          <cell r="BG43">
            <v>17125651.172602333</v>
          </cell>
          <cell r="BH43">
            <v>16962063.652072985</v>
          </cell>
        </row>
        <row r="44">
          <cell r="P44">
            <v>26202.365736136082</v>
          </cell>
          <cell r="Q44">
            <v>47491.433986450589</v>
          </cell>
          <cell r="R44">
            <v>64474.291758617408</v>
          </cell>
          <cell r="S44">
            <v>75985.806801524421</v>
          </cell>
          <cell r="T44">
            <v>85700.351839203053</v>
          </cell>
          <cell r="U44">
            <v>131656.34405069836</v>
          </cell>
          <cell r="V44">
            <v>156317.89349051012</v>
          </cell>
          <cell r="W44">
            <v>499770.3274422476</v>
          </cell>
          <cell r="X44">
            <v>440278.22434020881</v>
          </cell>
          <cell r="Y44">
            <v>498642.73287408159</v>
          </cell>
          <cell r="Z44">
            <v>492766.27085664385</v>
          </cell>
          <cell r="AA44">
            <v>547710.62942499283</v>
          </cell>
          <cell r="AB44">
            <v>581508.38715791935</v>
          </cell>
          <cell r="AC44">
            <v>761219.15435820934</v>
          </cell>
          <cell r="AD44">
            <v>851090.70409868576</v>
          </cell>
          <cell r="AE44">
            <v>928436.95349863335</v>
          </cell>
          <cell r="AF44">
            <v>942871.09125948977</v>
          </cell>
          <cell r="AG44">
            <v>908803.13079010812</v>
          </cell>
          <cell r="AH44">
            <v>1171252.1715837759</v>
          </cell>
          <cell r="AI44">
            <v>1020366.4411084347</v>
          </cell>
          <cell r="AJ44">
            <v>1260221.157200862</v>
          </cell>
          <cell r="AK44">
            <v>1511288.7468626159</v>
          </cell>
          <cell r="AL44">
            <v>2049771.4559640961</v>
          </cell>
          <cell r="AM44">
            <v>2455708.5247515384</v>
          </cell>
          <cell r="AN44">
            <v>2422975.4991805768</v>
          </cell>
          <cell r="AO44">
            <v>2736726.147415583</v>
          </cell>
          <cell r="AP44">
            <v>3840889.1270825113</v>
          </cell>
          <cell r="AQ44">
            <v>4318966.7477350608</v>
          </cell>
          <cell r="AR44">
            <v>3803025.4800461726</v>
          </cell>
          <cell r="AS44">
            <v>3829359.1238748687</v>
          </cell>
          <cell r="AT44">
            <v>4760525.1309032273</v>
          </cell>
          <cell r="AU44">
            <v>5461958.1193673741</v>
          </cell>
          <cell r="AV44">
            <v>5321691.6411137581</v>
          </cell>
          <cell r="AW44">
            <v>6240838.7085521473</v>
          </cell>
          <cell r="AX44">
            <v>6795026.5676369779</v>
          </cell>
          <cell r="AY44">
            <v>6461664.639353008</v>
          </cell>
          <cell r="AZ44">
            <v>6888440.9735648278</v>
          </cell>
          <cell r="BA44">
            <v>7240730.181876054</v>
          </cell>
          <cell r="BB44">
            <v>6423992.9328970611</v>
          </cell>
          <cell r="BC44">
            <v>6861367.1323216539</v>
          </cell>
          <cell r="BD44">
            <v>8992829.0861617588</v>
          </cell>
          <cell r="BE44">
            <v>9448089.2378487065</v>
          </cell>
          <cell r="BF44">
            <v>7950439.0863902476</v>
          </cell>
          <cell r="BG44">
            <v>8664870.1555187609</v>
          </cell>
          <cell r="BH44">
            <v>8394890.4177615661</v>
          </cell>
        </row>
        <row r="45">
          <cell r="P45">
            <v>38747.740082038275</v>
          </cell>
          <cell r="Q45">
            <v>70671.96977011174</v>
          </cell>
          <cell r="R45">
            <v>104251.55166764707</v>
          </cell>
          <cell r="S45">
            <v>128028.7584650639</v>
          </cell>
          <cell r="T45">
            <v>197027.82864891319</v>
          </cell>
          <cell r="U45">
            <v>258395.83127651361</v>
          </cell>
          <cell r="V45">
            <v>342744.44900195155</v>
          </cell>
          <cell r="W45">
            <v>593540.95340435987</v>
          </cell>
          <cell r="X45">
            <v>714842.32737670233</v>
          </cell>
          <cell r="Y45">
            <v>644414.21009676019</v>
          </cell>
          <cell r="Z45">
            <v>739724.12823624362</v>
          </cell>
          <cell r="AA45">
            <v>1010582.6992009183</v>
          </cell>
          <cell r="AB45">
            <v>1325271.8086847076</v>
          </cell>
          <cell r="AC45">
            <v>1346942.2122355888</v>
          </cell>
          <cell r="AD45">
            <v>1585399.0242568224</v>
          </cell>
          <cell r="AE45">
            <v>1858062.8345217463</v>
          </cell>
          <cell r="AF45">
            <v>1814068.9917145243</v>
          </cell>
          <cell r="AG45">
            <v>2234376.429891469</v>
          </cell>
          <cell r="AH45">
            <v>1573466.1054564081</v>
          </cell>
          <cell r="AI45">
            <v>1593775.2166515763</v>
          </cell>
          <cell r="AJ45">
            <v>1785519.9773464156</v>
          </cell>
          <cell r="AK45">
            <v>1699624.8218745238</v>
          </cell>
          <cell r="AL45">
            <v>1909353.4071816832</v>
          </cell>
          <cell r="AM45">
            <v>1771867.7504807129</v>
          </cell>
          <cell r="AN45">
            <v>1655397.5702174187</v>
          </cell>
          <cell r="AO45">
            <v>1880047.911153048</v>
          </cell>
          <cell r="AP45">
            <v>1829323.1647693308</v>
          </cell>
          <cell r="AQ45">
            <v>2077491.9004675737</v>
          </cell>
          <cell r="AR45">
            <v>2489139.3130806535</v>
          </cell>
          <cell r="AS45">
            <v>2490296.4784428785</v>
          </cell>
          <cell r="AT45">
            <v>2846387.8801323976</v>
          </cell>
          <cell r="AU45">
            <v>2939206.444817889</v>
          </cell>
          <cell r="AV45">
            <v>3162955.7447302253</v>
          </cell>
          <cell r="AW45">
            <v>3520579.1840229332</v>
          </cell>
          <cell r="AX45">
            <v>4507555.0289899474</v>
          </cell>
          <cell r="AY45">
            <v>4065841.6549782711</v>
          </cell>
          <cell r="AZ45">
            <v>4528001.5152780563</v>
          </cell>
          <cell r="BA45">
            <v>4238675.773880532</v>
          </cell>
          <cell r="BB45">
            <v>4976939.1902302168</v>
          </cell>
          <cell r="BC45">
            <v>4653796.8514874289</v>
          </cell>
          <cell r="BD45">
            <v>4920853.0807208149</v>
          </cell>
          <cell r="BE45">
            <v>4944470.6735568158</v>
          </cell>
          <cell r="BF45">
            <v>5504597.8787192237</v>
          </cell>
          <cell r="BG45">
            <v>6194927.7619546428</v>
          </cell>
          <cell r="BH45">
            <v>6756931.9261238538</v>
          </cell>
        </row>
        <row r="46">
          <cell r="P46">
            <v>32811.868443635874</v>
          </cell>
          <cell r="Q46">
            <v>53479.692230717672</v>
          </cell>
          <cell r="R46">
            <v>82598.724693465236</v>
          </cell>
          <cell r="S46">
            <v>106885.84431245003</v>
          </cell>
          <cell r="T46">
            <v>153912.36728035746</v>
          </cell>
          <cell r="U46">
            <v>194470.79521949688</v>
          </cell>
          <cell r="V46">
            <v>261580.31654936037</v>
          </cell>
          <cell r="W46">
            <v>703236.01437118289</v>
          </cell>
          <cell r="X46">
            <v>859507.98413231759</v>
          </cell>
          <cell r="Y46">
            <v>966032.02860130346</v>
          </cell>
          <cell r="Z46">
            <v>1074413.4135826814</v>
          </cell>
          <cell r="AA46">
            <v>1231755.9097507962</v>
          </cell>
          <cell r="AB46">
            <v>1417354.2539638826</v>
          </cell>
          <cell r="AC46">
            <v>1620028.7975467276</v>
          </cell>
          <cell r="AD46">
            <v>1918851.5557726391</v>
          </cell>
          <cell r="AE46">
            <v>2177765.6458217716</v>
          </cell>
          <cell r="AF46">
            <v>2282372.2708790423</v>
          </cell>
          <cell r="AG46">
            <v>2601500.8070669277</v>
          </cell>
          <cell r="AH46">
            <v>2759588.5981652867</v>
          </cell>
          <cell r="AI46">
            <v>2741893.0674521108</v>
          </cell>
          <cell r="AJ46">
            <v>2854367.6745856619</v>
          </cell>
          <cell r="AK46">
            <v>3283904.1729581673</v>
          </cell>
          <cell r="AL46">
            <v>4087889.1255751885</v>
          </cell>
          <cell r="AM46">
            <v>4271354.8030826831</v>
          </cell>
          <cell r="AN46">
            <v>4806774.6546140034</v>
          </cell>
          <cell r="AO46">
            <v>5289650.1551333489</v>
          </cell>
          <cell r="AP46">
            <v>5982770.5654453766</v>
          </cell>
          <cell r="AQ46">
            <v>6714151.6814073194</v>
          </cell>
          <cell r="AR46">
            <v>7554410.7539234404</v>
          </cell>
          <cell r="AS46">
            <v>8133243.0971893668</v>
          </cell>
          <cell r="AT46">
            <v>8501114.9479672443</v>
          </cell>
          <cell r="AU46">
            <v>9426101.3185044304</v>
          </cell>
          <cell r="AV46">
            <v>10007344.655433919</v>
          </cell>
          <cell r="AW46">
            <v>10452760.416717155</v>
          </cell>
          <cell r="AX46">
            <v>11919646.237481929</v>
          </cell>
          <cell r="AY46">
            <v>12510504.910910588</v>
          </cell>
          <cell r="AZ46">
            <v>13991139.463466471</v>
          </cell>
          <cell r="BA46">
            <v>16282384.295674402</v>
          </cell>
          <cell r="BB46">
            <v>17354781.180024259</v>
          </cell>
          <cell r="BC46">
            <v>18426931.518599782</v>
          </cell>
          <cell r="BD46">
            <v>20558901.157759242</v>
          </cell>
          <cell r="BE46">
            <v>24009559.02887693</v>
          </cell>
          <cell r="BF46">
            <v>26315869.428119097</v>
          </cell>
          <cell r="BG46">
            <v>30331321.501072891</v>
          </cell>
          <cell r="BH46">
            <v>34957152.239144996</v>
          </cell>
        </row>
      </sheetData>
      <sheetData sheetId="17">
        <row r="36">
          <cell r="C36">
            <v>77</v>
          </cell>
          <cell r="D36">
            <v>77</v>
          </cell>
          <cell r="E36">
            <v>77</v>
          </cell>
          <cell r="F36">
            <v>77</v>
          </cell>
          <cell r="G36">
            <v>77</v>
          </cell>
          <cell r="H36">
            <v>77</v>
          </cell>
          <cell r="I36">
            <v>77</v>
          </cell>
          <cell r="J36">
            <v>77</v>
          </cell>
          <cell r="K36">
            <v>77</v>
          </cell>
          <cell r="L36">
            <v>77</v>
          </cell>
          <cell r="M36">
            <v>77</v>
          </cell>
        </row>
        <row r="37">
          <cell r="C37">
            <v>76.401040794911751</v>
          </cell>
          <cell r="D37">
            <v>76.562695191088736</v>
          </cell>
          <cell r="E37">
            <v>80.258901924017607</v>
          </cell>
          <cell r="F37">
            <v>77.649906285074096</v>
          </cell>
          <cell r="G37">
            <v>77.250164051900157</v>
          </cell>
          <cell r="H37">
            <v>75.986677955165675</v>
          </cell>
          <cell r="I37">
            <v>80.366122723116092</v>
          </cell>
          <cell r="J37">
            <v>75.468746864684903</v>
          </cell>
          <cell r="K37">
            <v>77.789258693500457</v>
          </cell>
          <cell r="L37">
            <v>79.47393565790756</v>
          </cell>
          <cell r="M37">
            <v>77.720745014136696</v>
          </cell>
        </row>
        <row r="38">
          <cell r="C38">
            <v>78.099550104795426</v>
          </cell>
          <cell r="D38">
            <v>75.112812928186528</v>
          </cell>
          <cell r="E38">
            <v>79.062496671995177</v>
          </cell>
          <cell r="F38">
            <v>78.201163320574977</v>
          </cell>
          <cell r="G38">
            <v>72.852930863628515</v>
          </cell>
          <cell r="H38">
            <v>79.192908461334127</v>
          </cell>
          <cell r="I38">
            <v>82.588367178947237</v>
          </cell>
          <cell r="J38">
            <v>74.177948381133731</v>
          </cell>
          <cell r="K38">
            <v>76.340042262837912</v>
          </cell>
          <cell r="L38">
            <v>78.972179940768712</v>
          </cell>
          <cell r="M38">
            <v>77.460040011420233</v>
          </cell>
        </row>
        <row r="39">
          <cell r="C39">
            <v>78.83116737599839</v>
          </cell>
          <cell r="D39">
            <v>72.259933985044086</v>
          </cell>
          <cell r="E39">
            <v>80.336979307060091</v>
          </cell>
          <cell r="F39">
            <v>75.982293864543536</v>
          </cell>
          <cell r="G39">
            <v>70.383150431569163</v>
          </cell>
          <cell r="H39">
            <v>81.133513474223278</v>
          </cell>
          <cell r="I39">
            <v>83.38919259585883</v>
          </cell>
          <cell r="J39">
            <v>75.426611848760459</v>
          </cell>
          <cell r="K39">
            <v>74.221630389715585</v>
          </cell>
          <cell r="L39">
            <v>75.525985951830975</v>
          </cell>
          <cell r="M39">
            <v>76.749045922460439</v>
          </cell>
        </row>
        <row r="40">
          <cell r="C40">
            <v>81.255209270278371</v>
          </cell>
          <cell r="D40">
            <v>72.674768736344959</v>
          </cell>
          <cell r="E40">
            <v>79.848488780665051</v>
          </cell>
          <cell r="F40">
            <v>75.563013147451841</v>
          </cell>
          <cell r="G40">
            <v>70.482358878160397</v>
          </cell>
          <cell r="H40">
            <v>81.169440843045265</v>
          </cell>
          <cell r="I40">
            <v>81.932079161144713</v>
          </cell>
          <cell r="J40">
            <v>77.793556532725319</v>
          </cell>
          <cell r="K40">
            <v>77.284085748012458</v>
          </cell>
          <cell r="L40">
            <v>78.183827035734851</v>
          </cell>
          <cell r="M40">
            <v>77.61868281335633</v>
          </cell>
        </row>
        <row r="41">
          <cell r="C41">
            <v>80.775086944439252</v>
          </cell>
          <cell r="D41">
            <v>72.477983411411955</v>
          </cell>
          <cell r="E41">
            <v>79.620762421113355</v>
          </cell>
          <cell r="F41">
            <v>74.159740494800886</v>
          </cell>
          <cell r="G41">
            <v>70.967667279747843</v>
          </cell>
          <cell r="H41">
            <v>81.793262275486171</v>
          </cell>
          <cell r="I41">
            <v>79.448730931662823</v>
          </cell>
          <cell r="J41">
            <v>76.80360926097849</v>
          </cell>
          <cell r="K41">
            <v>75.807312661844009</v>
          </cell>
          <cell r="L41">
            <v>80.516863378867328</v>
          </cell>
          <cell r="M41">
            <v>77.237101906035207</v>
          </cell>
        </row>
        <row r="42">
          <cell r="C42">
            <v>76.59358119106281</v>
          </cell>
          <cell r="D42">
            <v>73.445079874313578</v>
          </cell>
          <cell r="E42">
            <v>81.618951064452503</v>
          </cell>
          <cell r="F42">
            <v>75.279931992316378</v>
          </cell>
          <cell r="G42">
            <v>74.899411158571127</v>
          </cell>
          <cell r="H42">
            <v>82.805543956455864</v>
          </cell>
          <cell r="I42">
            <v>82.009716711624236</v>
          </cell>
          <cell r="J42">
            <v>79.14816497191498</v>
          </cell>
          <cell r="K42">
            <v>75.488470094299984</v>
          </cell>
          <cell r="L42">
            <v>80.752575858225697</v>
          </cell>
          <cell r="M42">
            <v>78.20414268732371</v>
          </cell>
        </row>
        <row r="43">
          <cell r="C43">
            <v>73.286708347342568</v>
          </cell>
          <cell r="D43">
            <v>76.250140156575966</v>
          </cell>
          <cell r="E43">
            <v>80.193665144019505</v>
          </cell>
          <cell r="F43">
            <v>73.070129899909986</v>
          </cell>
          <cell r="G43">
            <v>74.241215477155649</v>
          </cell>
          <cell r="H43">
            <v>87.283674072518522</v>
          </cell>
          <cell r="I43">
            <v>83.893926450969715</v>
          </cell>
          <cell r="J43">
            <v>80.157563158451126</v>
          </cell>
          <cell r="K43">
            <v>76.337214824119869</v>
          </cell>
          <cell r="L43">
            <v>79.392839428538608</v>
          </cell>
          <cell r="M43">
            <v>78.410707695960156</v>
          </cell>
        </row>
        <row r="44">
          <cell r="C44">
            <v>74.135722954586356</v>
          </cell>
          <cell r="D44">
            <v>76.056420920904728</v>
          </cell>
          <cell r="E44">
            <v>80.919167135906093</v>
          </cell>
          <cell r="F44">
            <v>72.989294229264189</v>
          </cell>
          <cell r="G44">
            <v>75.699843917577127</v>
          </cell>
          <cell r="H44">
            <v>92.640912674410686</v>
          </cell>
          <cell r="I44">
            <v>83.834925586322981</v>
          </cell>
          <cell r="J44">
            <v>81.515795163585935</v>
          </cell>
          <cell r="K44">
            <v>80.38218952974151</v>
          </cell>
          <cell r="L44">
            <v>79.128680243047484</v>
          </cell>
          <cell r="M44">
            <v>79.730295235534712</v>
          </cell>
        </row>
        <row r="45">
          <cell r="C45">
            <v>77.240131254790327</v>
          </cell>
          <cell r="D45">
            <v>76.536948064516992</v>
          </cell>
          <cell r="E45">
            <v>77.366016686326219</v>
          </cell>
          <cell r="F45">
            <v>72.406447457782917</v>
          </cell>
          <cell r="G45">
            <v>79.044216043579468</v>
          </cell>
          <cell r="H45">
            <v>91.129959639296317</v>
          </cell>
          <cell r="I45">
            <v>88.226919656174459</v>
          </cell>
          <cell r="J45">
            <v>80.008633576008563</v>
          </cell>
          <cell r="K45">
            <v>79.157952125821694</v>
          </cell>
          <cell r="L45">
            <v>80.040369523010526</v>
          </cell>
          <cell r="M45">
            <v>80.11575940273076</v>
          </cell>
        </row>
        <row r="46">
          <cell r="C46">
            <v>76.901727038724715</v>
          </cell>
          <cell r="D46">
            <v>77.335294388889125</v>
          </cell>
          <cell r="E46">
            <v>78.666079460216693</v>
          </cell>
          <cell r="F46">
            <v>71.187174824124838</v>
          </cell>
          <cell r="G46">
            <v>76.990921603932478</v>
          </cell>
          <cell r="H46">
            <v>88.956782172193883</v>
          </cell>
          <cell r="I46">
            <v>89.112593237559423</v>
          </cell>
          <cell r="J46">
            <v>76.869552272794394</v>
          </cell>
          <cell r="K46">
            <v>80.394882169246571</v>
          </cell>
          <cell r="L46">
            <v>77.663463055467034</v>
          </cell>
          <cell r="M46">
            <v>79.407847022314911</v>
          </cell>
        </row>
        <row r="47">
          <cell r="C47">
            <v>77.127015128805809</v>
          </cell>
          <cell r="D47">
            <v>78.289810906701149</v>
          </cell>
          <cell r="E47">
            <v>78.102698674850373</v>
          </cell>
          <cell r="F47">
            <v>73.242850984167546</v>
          </cell>
          <cell r="G47">
            <v>73.634969801767795</v>
          </cell>
          <cell r="H47">
            <v>90.430153804448196</v>
          </cell>
          <cell r="I47">
            <v>91.933950150181019</v>
          </cell>
          <cell r="J47">
            <v>78.998012153615662</v>
          </cell>
          <cell r="K47">
            <v>81.578989020119252</v>
          </cell>
          <cell r="L47">
            <v>74.973747408835266</v>
          </cell>
          <cell r="M47">
            <v>79.831219803349214</v>
          </cell>
        </row>
        <row r="48">
          <cell r="C48">
            <v>79.718630001588167</v>
          </cell>
          <cell r="D48">
            <v>77.437336301374685</v>
          </cell>
          <cell r="E48">
            <v>79.963128346540103</v>
          </cell>
          <cell r="F48">
            <v>76.482854582565949</v>
          </cell>
          <cell r="G48">
            <v>75.021256424914398</v>
          </cell>
          <cell r="H48">
            <v>90.942426838883222</v>
          </cell>
          <cell r="I48">
            <v>93.972615553280477</v>
          </cell>
          <cell r="J48">
            <v>76.886630897975095</v>
          </cell>
          <cell r="K48">
            <v>83.608797021909467</v>
          </cell>
          <cell r="L48">
            <v>72.364617986395018</v>
          </cell>
          <cell r="M48">
            <v>80.639829395542648</v>
          </cell>
        </row>
        <row r="49">
          <cell r="C49">
            <v>81.213008760411128</v>
          </cell>
          <cell r="D49">
            <v>75.474764047226088</v>
          </cell>
          <cell r="E49">
            <v>78.785946164438172</v>
          </cell>
          <cell r="F49">
            <v>75.51202685489443</v>
          </cell>
          <cell r="G49">
            <v>73.568141547314212</v>
          </cell>
          <cell r="H49">
            <v>92.010231070544478</v>
          </cell>
          <cell r="I49">
            <v>90.863509285361388</v>
          </cell>
          <cell r="J49">
            <v>77.319875019972599</v>
          </cell>
          <cell r="K49">
            <v>82.99965787932841</v>
          </cell>
          <cell r="L49">
            <v>71.515482711401134</v>
          </cell>
          <cell r="M49">
            <v>79.926264334089211</v>
          </cell>
        </row>
        <row r="50">
          <cell r="C50">
            <v>81.644397671095035</v>
          </cell>
          <cell r="D50">
            <v>75.355622015741147</v>
          </cell>
          <cell r="E50">
            <v>79.431569456069951</v>
          </cell>
          <cell r="F50">
            <v>78.352877981414423</v>
          </cell>
          <cell r="G50">
            <v>72.726738088335395</v>
          </cell>
          <cell r="H50">
            <v>90.881621697198412</v>
          </cell>
          <cell r="I50">
            <v>93.847086767686775</v>
          </cell>
          <cell r="J50">
            <v>78.118489875045356</v>
          </cell>
          <cell r="K50">
            <v>81.872739040807701</v>
          </cell>
          <cell r="L50">
            <v>72.995846350201475</v>
          </cell>
          <cell r="M50">
            <v>80.522698894359564</v>
          </cell>
        </row>
        <row r="51">
          <cell r="C51">
            <v>80.982425222250157</v>
          </cell>
          <cell r="D51">
            <v>72.641810399558466</v>
          </cell>
          <cell r="E51">
            <v>76.495517025212067</v>
          </cell>
          <cell r="F51">
            <v>80.38718092495435</v>
          </cell>
          <cell r="G51">
            <v>71.213415789500729</v>
          </cell>
          <cell r="H51">
            <v>88.725945850919913</v>
          </cell>
          <cell r="I51">
            <v>96.324473924479278</v>
          </cell>
          <cell r="J51">
            <v>80.174622658904994</v>
          </cell>
          <cell r="K51">
            <v>80.762078378918289</v>
          </cell>
          <cell r="L51">
            <v>71.727783770538082</v>
          </cell>
          <cell r="M51">
            <v>79.943525394523633</v>
          </cell>
        </row>
        <row r="52">
          <cell r="C52">
            <v>78.124056738190703</v>
          </cell>
          <cell r="D52">
            <v>76.641967906917159</v>
          </cell>
          <cell r="E52">
            <v>79.017724359911568</v>
          </cell>
          <cell r="F52">
            <v>75.653197924790348</v>
          </cell>
          <cell r="G52">
            <v>71.516630319068483</v>
          </cell>
          <cell r="H52">
            <v>88.954683157598353</v>
          </cell>
          <cell r="I52">
            <v>91.903142119160719</v>
          </cell>
          <cell r="J52">
            <v>79.544595319055531</v>
          </cell>
          <cell r="K52">
            <v>84.937500296122536</v>
          </cell>
          <cell r="L52">
            <v>71.595978383411861</v>
          </cell>
          <cell r="M52">
            <v>79.788947652422721</v>
          </cell>
        </row>
        <row r="53">
          <cell r="C53">
            <v>80.158276094652109</v>
          </cell>
          <cell r="D53">
            <v>73.484752091636452</v>
          </cell>
          <cell r="E53">
            <v>75.568349458619437</v>
          </cell>
          <cell r="F53">
            <v>74.277688659794052</v>
          </cell>
          <cell r="G53">
            <v>71.707902167241656</v>
          </cell>
          <cell r="H53">
            <v>90.727819432124576</v>
          </cell>
          <cell r="I53">
            <v>93.662133070125805</v>
          </cell>
          <cell r="J53">
            <v>82.144011890888066</v>
          </cell>
          <cell r="K53">
            <v>80.802901064656524</v>
          </cell>
          <cell r="L53">
            <v>74.566507492609119</v>
          </cell>
          <cell r="M53">
            <v>79.71003414223479</v>
          </cell>
        </row>
        <row r="54">
          <cell r="C54">
            <v>78.464573291030888</v>
          </cell>
          <cell r="D54">
            <v>74.678946253641286</v>
          </cell>
          <cell r="E54">
            <v>76.51754183001583</v>
          </cell>
          <cell r="F54">
            <v>72.1993984025072</v>
          </cell>
          <cell r="G54">
            <v>69.727527319069139</v>
          </cell>
          <cell r="H54">
            <v>91.841812806878082</v>
          </cell>
          <cell r="I54">
            <v>94.870925101260994</v>
          </cell>
          <cell r="J54">
            <v>83.493729366784649</v>
          </cell>
          <cell r="K54">
            <v>81.650698119519888</v>
          </cell>
          <cell r="L54">
            <v>74.124783924421976</v>
          </cell>
          <cell r="M54">
            <v>79.756993641512992</v>
          </cell>
        </row>
        <row r="55">
          <cell r="C55">
            <v>77.825894266422466</v>
          </cell>
          <cell r="D55">
            <v>73.933301970840489</v>
          </cell>
          <cell r="E55">
            <v>73.09212937781794</v>
          </cell>
          <cell r="F55">
            <v>73.423578091917989</v>
          </cell>
          <cell r="G55">
            <v>68.025524950534304</v>
          </cell>
          <cell r="H55">
            <v>95.738693040426327</v>
          </cell>
          <cell r="I55">
            <v>97.803253613686522</v>
          </cell>
          <cell r="J55">
            <v>84.9365937618267</v>
          </cell>
          <cell r="K55">
            <v>82.434959366451736</v>
          </cell>
          <cell r="L55">
            <v>73.658661824151423</v>
          </cell>
          <cell r="M55">
            <v>80.08725902640758</v>
          </cell>
        </row>
        <row r="56">
          <cell r="C56">
            <v>77.055663021446108</v>
          </cell>
          <cell r="D56">
            <v>73.227003777276451</v>
          </cell>
          <cell r="E56">
            <v>71.925262896793498</v>
          </cell>
          <cell r="F56">
            <v>72.962296438623639</v>
          </cell>
          <cell r="G56">
            <v>67.199912301077674</v>
          </cell>
          <cell r="H56">
            <v>98.82933610993112</v>
          </cell>
          <cell r="I56">
            <v>99.105702961181294</v>
          </cell>
          <cell r="J56">
            <v>89.2118722046839</v>
          </cell>
          <cell r="K56">
            <v>86.107839637544345</v>
          </cell>
          <cell r="L56">
            <v>74.796282605112467</v>
          </cell>
          <cell r="M56">
            <v>81.042117195367041</v>
          </cell>
        </row>
      </sheetData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5274A-E9DB-4D60-9CF4-FBDC28E7B187}">
  <sheetPr>
    <tabColor theme="1"/>
  </sheetPr>
  <dimension ref="A1"/>
  <sheetViews>
    <sheetView topLeftCell="A1048576" workbookViewId="0">
      <selection activeCell="E17" sqref="A1:XFD1048576"/>
    </sheetView>
  </sheetViews>
  <sheetFormatPr defaultRowHeight="15.6" zeroHeight="1" x14ac:dyDescent="0.3"/>
  <sheetData>
    <row r="1" hidden="1" x14ac:dyDescent="0.3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4AA2C-172B-4E9E-A865-81C7090EF9ED}">
  <sheetPr>
    <tabColor theme="3"/>
  </sheetPr>
  <dimension ref="A1:BL137"/>
  <sheetViews>
    <sheetView tabSelected="1" topLeftCell="C1" zoomScale="64" zoomScaleNormal="60" workbookViewId="0">
      <selection activeCell="J48" sqref="J48"/>
    </sheetView>
  </sheetViews>
  <sheetFormatPr defaultColWidth="0" defaultRowHeight="15.6" x14ac:dyDescent="0.3"/>
  <cols>
    <col min="1" max="1" width="11.19921875" style="83" hidden="1" customWidth="1"/>
    <col min="2" max="2" width="7.69921875" style="83" hidden="1" customWidth="1"/>
    <col min="3" max="3" width="4.09765625" style="83" customWidth="1"/>
    <col min="4" max="4" width="5.69921875" style="83" customWidth="1"/>
    <col min="5" max="5" width="14.5" style="83" customWidth="1"/>
    <col min="6" max="6" width="16.09765625" style="83" customWidth="1"/>
    <col min="7" max="7" width="18.5" style="83" customWidth="1"/>
    <col min="8" max="8" width="16.19921875" style="83" customWidth="1"/>
    <col min="9" max="9" width="18.59765625" style="83" customWidth="1"/>
    <col min="10" max="10" width="6.09765625" style="84" customWidth="1"/>
    <col min="11" max="11" width="21.796875" style="84" customWidth="1"/>
    <col min="12" max="12" width="17.5" style="84" customWidth="1"/>
    <col min="13" max="13" width="16.19921875" style="83" customWidth="1"/>
    <col min="14" max="14" width="11.5" style="83" bestFit="1" customWidth="1"/>
    <col min="15" max="15" width="25.8984375" style="83" customWidth="1"/>
    <col min="16" max="60" width="15.69921875" style="83" customWidth="1"/>
    <col min="61" max="64" width="11.19921875" style="83" customWidth="1"/>
    <col min="65" max="16384" width="11.19921875" style="83" hidden="1"/>
  </cols>
  <sheetData>
    <row r="1" spans="1:60" s="2" customFormat="1" ht="37.200000000000003" customHeight="1" x14ac:dyDescent="0.5">
      <c r="C1" s="1" t="s">
        <v>32</v>
      </c>
      <c r="F1" s="2" t="s">
        <v>33</v>
      </c>
    </row>
    <row r="2" spans="1:60" s="82" customFormat="1" ht="18.600000000000001" thickBot="1" x14ac:dyDescent="0.4">
      <c r="A2" s="71"/>
      <c r="B2" s="71"/>
      <c r="C2" s="72"/>
      <c r="D2" s="73" t="s">
        <v>34</v>
      </c>
      <c r="E2" s="74"/>
      <c r="F2" s="75"/>
      <c r="G2" s="76"/>
      <c r="H2" s="74" t="s">
        <v>35</v>
      </c>
      <c r="I2" s="77"/>
      <c r="J2" s="78"/>
      <c r="K2" s="79"/>
      <c r="L2" s="80" t="s">
        <v>36</v>
      </c>
      <c r="M2" s="81" t="s">
        <v>37</v>
      </c>
      <c r="N2" s="71"/>
      <c r="O2" s="82" t="s">
        <v>38</v>
      </c>
      <c r="P2" s="82">
        <f ca="1">YEAR(TODAY())</f>
        <v>2023</v>
      </c>
      <c r="Q2" s="82">
        <f ca="1">P2+1</f>
        <v>2024</v>
      </c>
      <c r="R2" s="82">
        <f t="shared" ref="R2:BH2" ca="1" si="0">Q2+1</f>
        <v>2025</v>
      </c>
      <c r="S2" s="82">
        <f t="shared" ca="1" si="0"/>
        <v>2026</v>
      </c>
      <c r="T2" s="82">
        <f t="shared" ca="1" si="0"/>
        <v>2027</v>
      </c>
      <c r="U2" s="82">
        <f t="shared" ca="1" si="0"/>
        <v>2028</v>
      </c>
      <c r="V2" s="82">
        <f t="shared" ca="1" si="0"/>
        <v>2029</v>
      </c>
      <c r="W2" s="82">
        <f t="shared" ca="1" si="0"/>
        <v>2030</v>
      </c>
      <c r="X2" s="82">
        <f t="shared" ca="1" si="0"/>
        <v>2031</v>
      </c>
      <c r="Y2" s="82">
        <f t="shared" ca="1" si="0"/>
        <v>2032</v>
      </c>
      <c r="Z2" s="82">
        <f t="shared" ca="1" si="0"/>
        <v>2033</v>
      </c>
      <c r="AA2" s="82">
        <f t="shared" ca="1" si="0"/>
        <v>2034</v>
      </c>
      <c r="AB2" s="82">
        <f t="shared" ca="1" si="0"/>
        <v>2035</v>
      </c>
      <c r="AC2" s="82">
        <f t="shared" ca="1" si="0"/>
        <v>2036</v>
      </c>
      <c r="AD2" s="82">
        <f t="shared" ca="1" si="0"/>
        <v>2037</v>
      </c>
      <c r="AE2" s="82">
        <f t="shared" ca="1" si="0"/>
        <v>2038</v>
      </c>
      <c r="AF2" s="82">
        <f t="shared" ca="1" si="0"/>
        <v>2039</v>
      </c>
      <c r="AG2" s="82">
        <f t="shared" ca="1" si="0"/>
        <v>2040</v>
      </c>
      <c r="AH2" s="82">
        <f t="shared" ca="1" si="0"/>
        <v>2041</v>
      </c>
      <c r="AI2" s="82">
        <f t="shared" ca="1" si="0"/>
        <v>2042</v>
      </c>
      <c r="AJ2" s="82">
        <f t="shared" ca="1" si="0"/>
        <v>2043</v>
      </c>
      <c r="AK2" s="82">
        <f t="shared" ca="1" si="0"/>
        <v>2044</v>
      </c>
      <c r="AL2" s="82">
        <f t="shared" ca="1" si="0"/>
        <v>2045</v>
      </c>
      <c r="AM2" s="82">
        <f t="shared" ca="1" si="0"/>
        <v>2046</v>
      </c>
      <c r="AN2" s="82">
        <f t="shared" ca="1" si="0"/>
        <v>2047</v>
      </c>
      <c r="AO2" s="82">
        <f t="shared" ca="1" si="0"/>
        <v>2048</v>
      </c>
      <c r="AP2" s="82">
        <f t="shared" ca="1" si="0"/>
        <v>2049</v>
      </c>
      <c r="AQ2" s="82">
        <f t="shared" ca="1" si="0"/>
        <v>2050</v>
      </c>
      <c r="AR2" s="82">
        <f t="shared" ca="1" si="0"/>
        <v>2051</v>
      </c>
      <c r="AS2" s="82">
        <f t="shared" ca="1" si="0"/>
        <v>2052</v>
      </c>
      <c r="AT2" s="82">
        <f t="shared" ca="1" si="0"/>
        <v>2053</v>
      </c>
      <c r="AU2" s="82">
        <f t="shared" ca="1" si="0"/>
        <v>2054</v>
      </c>
      <c r="AV2" s="82">
        <f t="shared" ca="1" si="0"/>
        <v>2055</v>
      </c>
      <c r="AW2" s="82">
        <f t="shared" ca="1" si="0"/>
        <v>2056</v>
      </c>
      <c r="AX2" s="82">
        <f t="shared" ca="1" si="0"/>
        <v>2057</v>
      </c>
      <c r="AY2" s="82">
        <f t="shared" ca="1" si="0"/>
        <v>2058</v>
      </c>
      <c r="AZ2" s="82">
        <f t="shared" ca="1" si="0"/>
        <v>2059</v>
      </c>
      <c r="BA2" s="82">
        <f t="shared" ca="1" si="0"/>
        <v>2060</v>
      </c>
      <c r="BB2" s="82">
        <f t="shared" ca="1" si="0"/>
        <v>2061</v>
      </c>
      <c r="BC2" s="82">
        <f t="shared" ca="1" si="0"/>
        <v>2062</v>
      </c>
      <c r="BD2" s="82">
        <f t="shared" ca="1" si="0"/>
        <v>2063</v>
      </c>
      <c r="BE2" s="82">
        <f t="shared" ca="1" si="0"/>
        <v>2064</v>
      </c>
      <c r="BF2" s="82">
        <f t="shared" ca="1" si="0"/>
        <v>2065</v>
      </c>
      <c r="BG2" s="82">
        <f t="shared" ca="1" si="0"/>
        <v>2066</v>
      </c>
      <c r="BH2" s="82">
        <f t="shared" ca="1" si="0"/>
        <v>2067</v>
      </c>
    </row>
    <row r="3" spans="1:60" x14ac:dyDescent="0.3">
      <c r="C3" s="84"/>
      <c r="D3" s="85" t="s">
        <v>39</v>
      </c>
      <c r="E3" s="86"/>
      <c r="F3" s="87" t="s">
        <v>40</v>
      </c>
      <c r="G3" s="87" t="s">
        <v>41</v>
      </c>
      <c r="H3" s="88" t="s">
        <v>42</v>
      </c>
      <c r="I3" s="89" t="s">
        <v>43</v>
      </c>
      <c r="K3" s="85" t="s">
        <v>44</v>
      </c>
      <c r="L3" s="90">
        <f>[1]Summary!E6</f>
        <v>100000</v>
      </c>
      <c r="M3" s="91">
        <f>L3</f>
        <v>100000</v>
      </c>
      <c r="O3" s="92" t="s">
        <v>45</v>
      </c>
      <c r="P3" s="93">
        <f>M3</f>
        <v>100000</v>
      </c>
      <c r="Q3" s="94">
        <f ca="1">P3+IFERROR((VLOOKUP(Q$2,$D$15:$I$24,6,FALSE)),0)</f>
        <v>115000</v>
      </c>
      <c r="R3" s="94">
        <f ca="1">Q3+IFERROR((VLOOKUP(R$2,$D$15:$I$24,6,FALSE)),0)</f>
        <v>115000</v>
      </c>
      <c r="S3" s="94">
        <f t="shared" ref="S3:BH3" ca="1" si="1">R3+IFERROR((VLOOKUP(S$2,$D$15:$I$24,6,FALSE)),0)</f>
        <v>135000</v>
      </c>
      <c r="T3" s="94">
        <f t="shared" ca="1" si="1"/>
        <v>135000</v>
      </c>
      <c r="U3" s="94">
        <f ca="1">T3+IFERROR((VLOOKUP(U$2,$D$15:$I$24,6,FALSE)),0)</f>
        <v>135000</v>
      </c>
      <c r="V3" s="94">
        <f t="shared" ca="1" si="1"/>
        <v>135000</v>
      </c>
      <c r="W3" s="94">
        <f t="shared" ca="1" si="1"/>
        <v>135000</v>
      </c>
      <c r="X3" s="94">
        <f t="shared" ca="1" si="1"/>
        <v>135000</v>
      </c>
      <c r="Y3" s="94">
        <f t="shared" ca="1" si="1"/>
        <v>135000</v>
      </c>
      <c r="Z3" s="94">
        <f t="shared" ca="1" si="1"/>
        <v>135000</v>
      </c>
      <c r="AA3" s="94">
        <f t="shared" ca="1" si="1"/>
        <v>105000</v>
      </c>
      <c r="AB3" s="94">
        <f t="shared" ca="1" si="1"/>
        <v>105000</v>
      </c>
      <c r="AC3" s="94">
        <f t="shared" ca="1" si="1"/>
        <v>130000</v>
      </c>
      <c r="AD3" s="94">
        <f t="shared" ca="1" si="1"/>
        <v>130000</v>
      </c>
      <c r="AE3" s="94">
        <f t="shared" ca="1" si="1"/>
        <v>130000</v>
      </c>
      <c r="AF3" s="94">
        <f t="shared" ca="1" si="1"/>
        <v>130000</v>
      </c>
      <c r="AG3" s="94">
        <f t="shared" ca="1" si="1"/>
        <v>130000</v>
      </c>
      <c r="AH3" s="94">
        <f t="shared" ca="1" si="1"/>
        <v>130000</v>
      </c>
      <c r="AI3" s="94">
        <f t="shared" ca="1" si="1"/>
        <v>130000</v>
      </c>
      <c r="AJ3" s="94">
        <f t="shared" ca="1" si="1"/>
        <v>130000</v>
      </c>
      <c r="AK3" s="94">
        <f t="shared" ca="1" si="1"/>
        <v>130000</v>
      </c>
      <c r="AL3" s="94">
        <f t="shared" ca="1" si="1"/>
        <v>130000</v>
      </c>
      <c r="AM3" s="94">
        <f t="shared" ca="1" si="1"/>
        <v>130000</v>
      </c>
      <c r="AN3" s="94">
        <f t="shared" ca="1" si="1"/>
        <v>130000</v>
      </c>
      <c r="AO3" s="94">
        <f t="shared" ca="1" si="1"/>
        <v>130000</v>
      </c>
      <c r="AP3" s="94">
        <f t="shared" ca="1" si="1"/>
        <v>130000</v>
      </c>
      <c r="AQ3" s="94">
        <f t="shared" ca="1" si="1"/>
        <v>130000</v>
      </c>
      <c r="AR3" s="94">
        <f t="shared" ca="1" si="1"/>
        <v>130000</v>
      </c>
      <c r="AS3" s="94">
        <f t="shared" ca="1" si="1"/>
        <v>130000</v>
      </c>
      <c r="AT3" s="94">
        <f t="shared" ca="1" si="1"/>
        <v>130000</v>
      </c>
      <c r="AU3" s="94">
        <f t="shared" ca="1" si="1"/>
        <v>130000</v>
      </c>
      <c r="AV3" s="94">
        <f t="shared" ca="1" si="1"/>
        <v>130000</v>
      </c>
      <c r="AW3" s="94">
        <f t="shared" ca="1" si="1"/>
        <v>130000</v>
      </c>
      <c r="AX3" s="94">
        <f t="shared" ca="1" si="1"/>
        <v>130000</v>
      </c>
      <c r="AY3" s="94">
        <f t="shared" ca="1" si="1"/>
        <v>130000</v>
      </c>
      <c r="AZ3" s="94">
        <f t="shared" ca="1" si="1"/>
        <v>130000</v>
      </c>
      <c r="BA3" s="94">
        <f t="shared" ca="1" si="1"/>
        <v>130000</v>
      </c>
      <c r="BB3" s="94">
        <f t="shared" ca="1" si="1"/>
        <v>130000</v>
      </c>
      <c r="BC3" s="94">
        <f t="shared" ca="1" si="1"/>
        <v>130000</v>
      </c>
      <c r="BD3" s="94">
        <f t="shared" ca="1" si="1"/>
        <v>130000</v>
      </c>
      <c r="BE3" s="94">
        <f t="shared" ca="1" si="1"/>
        <v>130000</v>
      </c>
      <c r="BF3" s="94">
        <f t="shared" ca="1" si="1"/>
        <v>130000</v>
      </c>
      <c r="BG3" s="94">
        <f t="shared" ca="1" si="1"/>
        <v>130000</v>
      </c>
      <c r="BH3" s="94">
        <f t="shared" ca="1" si="1"/>
        <v>130000</v>
      </c>
    </row>
    <row r="4" spans="1:60" x14ac:dyDescent="0.3">
      <c r="C4" s="84"/>
      <c r="D4" s="95">
        <v>0.18099999999999999</v>
      </c>
      <c r="E4" s="84" t="s">
        <v>46</v>
      </c>
      <c r="F4" s="96">
        <v>0.08</v>
      </c>
      <c r="G4" s="97">
        <v>0</v>
      </c>
      <c r="H4" s="98">
        <f>IFERROR(G4/SUM($G$4:$G$10),0)</f>
        <v>0</v>
      </c>
      <c r="I4" s="99">
        <v>0.77859999999999996</v>
      </c>
      <c r="K4" s="100" t="s">
        <v>47</v>
      </c>
      <c r="L4" s="101">
        <f>SUM([1]Summary!E8,[1]Summary!E12,[1]Summary!E15,[1]Summary!E14)/[1]Summary!E7</f>
        <v>0.21499999999999997</v>
      </c>
      <c r="M4" s="102">
        <v>0.15</v>
      </c>
      <c r="O4" s="103" t="s">
        <v>48</v>
      </c>
      <c r="P4" s="104">
        <f t="shared" ref="P4:BH4" ca="1" si="2">IFERROR(IF((VLOOKUP(P$2,$D$15:$I$24,4,FALSE))="No",(VLOOKUP(P$2,$D$15:$I$24,3,FALSE)),0),0)</f>
        <v>0</v>
      </c>
      <c r="Q4" s="104">
        <f t="shared" ca="1" si="2"/>
        <v>0</v>
      </c>
      <c r="R4" s="104">
        <f t="shared" ca="1" si="2"/>
        <v>0</v>
      </c>
      <c r="S4" s="104">
        <f t="shared" ca="1" si="2"/>
        <v>0</v>
      </c>
      <c r="T4" s="104">
        <f t="shared" ca="1" si="2"/>
        <v>0</v>
      </c>
      <c r="U4" s="104">
        <f ca="1">IFERROR(IF((VLOOKUP(U$2,$D$15:$I$24,4,FALSE))="No",(VLOOKUP(U$2,$D$15:$I$24,3,FALSE)),0),0)</f>
        <v>0</v>
      </c>
      <c r="V4" s="104">
        <f t="shared" ca="1" si="2"/>
        <v>20000</v>
      </c>
      <c r="W4" s="104">
        <f t="shared" ca="1" si="2"/>
        <v>0</v>
      </c>
      <c r="X4" s="104">
        <f t="shared" ca="1" si="2"/>
        <v>0</v>
      </c>
      <c r="Y4" s="104">
        <f t="shared" ca="1" si="2"/>
        <v>0</v>
      </c>
      <c r="Z4" s="104">
        <f t="shared" ca="1" si="2"/>
        <v>0</v>
      </c>
      <c r="AA4" s="104">
        <f t="shared" ca="1" si="2"/>
        <v>0</v>
      </c>
      <c r="AB4" s="104">
        <f t="shared" ca="1" si="2"/>
        <v>0</v>
      </c>
      <c r="AC4" s="104">
        <f t="shared" ca="1" si="2"/>
        <v>0</v>
      </c>
      <c r="AD4" s="104">
        <f t="shared" ca="1" si="2"/>
        <v>0</v>
      </c>
      <c r="AE4" s="104">
        <f t="shared" ca="1" si="2"/>
        <v>0</v>
      </c>
      <c r="AF4" s="104">
        <f t="shared" ca="1" si="2"/>
        <v>0</v>
      </c>
      <c r="AG4" s="104">
        <f t="shared" ca="1" si="2"/>
        <v>0</v>
      </c>
      <c r="AH4" s="104">
        <f t="shared" ca="1" si="2"/>
        <v>0</v>
      </c>
      <c r="AI4" s="104">
        <f t="shared" ca="1" si="2"/>
        <v>0</v>
      </c>
      <c r="AJ4" s="104">
        <f t="shared" ca="1" si="2"/>
        <v>0</v>
      </c>
      <c r="AK4" s="104">
        <f t="shared" ca="1" si="2"/>
        <v>0</v>
      </c>
      <c r="AL4" s="104">
        <f t="shared" ca="1" si="2"/>
        <v>0</v>
      </c>
      <c r="AM4" s="104">
        <f t="shared" ca="1" si="2"/>
        <v>0</v>
      </c>
      <c r="AN4" s="104">
        <f t="shared" ca="1" si="2"/>
        <v>0</v>
      </c>
      <c r="AO4" s="104">
        <f t="shared" ca="1" si="2"/>
        <v>0</v>
      </c>
      <c r="AP4" s="104">
        <f t="shared" ca="1" si="2"/>
        <v>0</v>
      </c>
      <c r="AQ4" s="104">
        <f t="shared" ca="1" si="2"/>
        <v>0</v>
      </c>
      <c r="AR4" s="104">
        <f t="shared" ca="1" si="2"/>
        <v>0</v>
      </c>
      <c r="AS4" s="104">
        <f t="shared" ca="1" si="2"/>
        <v>0</v>
      </c>
      <c r="AT4" s="104">
        <f t="shared" ca="1" si="2"/>
        <v>0</v>
      </c>
      <c r="AU4" s="104">
        <f t="shared" ca="1" si="2"/>
        <v>0</v>
      </c>
      <c r="AV4" s="104">
        <f t="shared" ca="1" si="2"/>
        <v>0</v>
      </c>
      <c r="AW4" s="104">
        <f t="shared" ca="1" si="2"/>
        <v>0</v>
      </c>
      <c r="AX4" s="104">
        <f t="shared" ca="1" si="2"/>
        <v>0</v>
      </c>
      <c r="AY4" s="104">
        <f t="shared" ca="1" si="2"/>
        <v>0</v>
      </c>
      <c r="AZ4" s="104">
        <f t="shared" ca="1" si="2"/>
        <v>0</v>
      </c>
      <c r="BA4" s="104">
        <f t="shared" ca="1" si="2"/>
        <v>0</v>
      </c>
      <c r="BB4" s="104">
        <f t="shared" ca="1" si="2"/>
        <v>0</v>
      </c>
      <c r="BC4" s="104">
        <f t="shared" ca="1" si="2"/>
        <v>0</v>
      </c>
      <c r="BD4" s="104">
        <f t="shared" ca="1" si="2"/>
        <v>0</v>
      </c>
      <c r="BE4" s="104">
        <f t="shared" ca="1" si="2"/>
        <v>0</v>
      </c>
      <c r="BF4" s="104">
        <f t="shared" ca="1" si="2"/>
        <v>0</v>
      </c>
      <c r="BG4" s="104">
        <f t="shared" ca="1" si="2"/>
        <v>0</v>
      </c>
      <c r="BH4" s="104">
        <f t="shared" ca="1" si="2"/>
        <v>0</v>
      </c>
    </row>
    <row r="5" spans="1:60" x14ac:dyDescent="0.3">
      <c r="B5" s="83" t="s">
        <v>49</v>
      </c>
      <c r="C5" s="84"/>
      <c r="D5" s="95">
        <v>9.0999999999999998E-2</v>
      </c>
      <c r="E5" s="84" t="s">
        <v>50</v>
      </c>
      <c r="F5" s="96">
        <v>0.03</v>
      </c>
      <c r="G5" s="97">
        <v>0</v>
      </c>
      <c r="H5" s="105">
        <f>IFERROR(G5/SUM($G$4:$G$10),0)</f>
        <v>0</v>
      </c>
      <c r="I5" s="99">
        <v>0.09</v>
      </c>
      <c r="K5" s="106" t="s">
        <v>51</v>
      </c>
      <c r="L5" s="107"/>
      <c r="M5" s="102">
        <v>1</v>
      </c>
      <c r="O5" s="92" t="s">
        <v>52</v>
      </c>
      <c r="P5" s="93">
        <f>P3*L4</f>
        <v>21499.999999999996</v>
      </c>
      <c r="Q5" s="94">
        <f ca="1">(Q3*$M$4)+(Q4*$M$5)</f>
        <v>17250</v>
      </c>
      <c r="R5" s="94">
        <f t="shared" ref="R5:BH5" ca="1" si="3">(R3*$M$4)+(R4*$M$5)</f>
        <v>17250</v>
      </c>
      <c r="S5" s="94">
        <f t="shared" ca="1" si="3"/>
        <v>20250</v>
      </c>
      <c r="T5" s="94">
        <f t="shared" ca="1" si="3"/>
        <v>20250</v>
      </c>
      <c r="U5" s="94">
        <f t="shared" ca="1" si="3"/>
        <v>20250</v>
      </c>
      <c r="V5" s="94">
        <f t="shared" ca="1" si="3"/>
        <v>40250</v>
      </c>
      <c r="W5" s="94">
        <f t="shared" ca="1" si="3"/>
        <v>20250</v>
      </c>
      <c r="X5" s="94">
        <f t="shared" ca="1" si="3"/>
        <v>20250</v>
      </c>
      <c r="Y5" s="94">
        <f t="shared" ca="1" si="3"/>
        <v>20250</v>
      </c>
      <c r="Z5" s="94">
        <f t="shared" ca="1" si="3"/>
        <v>20250</v>
      </c>
      <c r="AA5" s="94">
        <f t="shared" ca="1" si="3"/>
        <v>15750</v>
      </c>
      <c r="AB5" s="94">
        <f t="shared" ca="1" si="3"/>
        <v>15750</v>
      </c>
      <c r="AC5" s="94">
        <f t="shared" ca="1" si="3"/>
        <v>19500</v>
      </c>
      <c r="AD5" s="94">
        <f t="shared" ca="1" si="3"/>
        <v>19500</v>
      </c>
      <c r="AE5" s="94">
        <f t="shared" ca="1" si="3"/>
        <v>19500</v>
      </c>
      <c r="AF5" s="94">
        <f t="shared" ca="1" si="3"/>
        <v>19500</v>
      </c>
      <c r="AG5" s="94">
        <f t="shared" ca="1" si="3"/>
        <v>19500</v>
      </c>
      <c r="AH5" s="94">
        <f t="shared" ca="1" si="3"/>
        <v>19500</v>
      </c>
      <c r="AI5" s="94">
        <f t="shared" ca="1" si="3"/>
        <v>19500</v>
      </c>
      <c r="AJ5" s="94">
        <f t="shared" ca="1" si="3"/>
        <v>19500</v>
      </c>
      <c r="AK5" s="94">
        <f t="shared" ca="1" si="3"/>
        <v>19500</v>
      </c>
      <c r="AL5" s="94">
        <f t="shared" ca="1" si="3"/>
        <v>19500</v>
      </c>
      <c r="AM5" s="94">
        <f t="shared" ca="1" si="3"/>
        <v>19500</v>
      </c>
      <c r="AN5" s="94">
        <f t="shared" ca="1" si="3"/>
        <v>19500</v>
      </c>
      <c r="AO5" s="94">
        <f t="shared" ca="1" si="3"/>
        <v>19500</v>
      </c>
      <c r="AP5" s="94">
        <f t="shared" ca="1" si="3"/>
        <v>19500</v>
      </c>
      <c r="AQ5" s="94">
        <f t="shared" ca="1" si="3"/>
        <v>19500</v>
      </c>
      <c r="AR5" s="94">
        <f t="shared" ca="1" si="3"/>
        <v>19500</v>
      </c>
      <c r="AS5" s="94">
        <f t="shared" ca="1" si="3"/>
        <v>19500</v>
      </c>
      <c r="AT5" s="94">
        <f t="shared" ca="1" si="3"/>
        <v>19500</v>
      </c>
      <c r="AU5" s="94">
        <f t="shared" ca="1" si="3"/>
        <v>19500</v>
      </c>
      <c r="AV5" s="94">
        <f t="shared" ca="1" si="3"/>
        <v>19500</v>
      </c>
      <c r="AW5" s="94">
        <f t="shared" ca="1" si="3"/>
        <v>19500</v>
      </c>
      <c r="AX5" s="94">
        <f t="shared" ca="1" si="3"/>
        <v>19500</v>
      </c>
      <c r="AY5" s="94">
        <f t="shared" ca="1" si="3"/>
        <v>19500</v>
      </c>
      <c r="AZ5" s="94">
        <f t="shared" ca="1" si="3"/>
        <v>19500</v>
      </c>
      <c r="BA5" s="94">
        <f t="shared" ca="1" si="3"/>
        <v>19500</v>
      </c>
      <c r="BB5" s="94">
        <f t="shared" ca="1" si="3"/>
        <v>19500</v>
      </c>
      <c r="BC5" s="94">
        <f t="shared" ca="1" si="3"/>
        <v>19500</v>
      </c>
      <c r="BD5" s="94">
        <f t="shared" ca="1" si="3"/>
        <v>19500</v>
      </c>
      <c r="BE5" s="94">
        <f t="shared" ca="1" si="3"/>
        <v>19500</v>
      </c>
      <c r="BF5" s="94">
        <f t="shared" ca="1" si="3"/>
        <v>19500</v>
      </c>
      <c r="BG5" s="94">
        <f t="shared" ca="1" si="3"/>
        <v>19500</v>
      </c>
      <c r="BH5" s="94">
        <f t="shared" ca="1" si="3"/>
        <v>19500</v>
      </c>
    </row>
    <row r="6" spans="1:60" x14ac:dyDescent="0.3">
      <c r="B6" s="83" t="s">
        <v>53</v>
      </c>
      <c r="C6" s="84"/>
      <c r="D6" s="95">
        <v>0.6</v>
      </c>
      <c r="E6" s="84" t="s">
        <v>54</v>
      </c>
      <c r="F6" s="96">
        <v>0.1</v>
      </c>
      <c r="G6" s="97">
        <v>0</v>
      </c>
      <c r="H6" s="105">
        <f t="shared" ref="H6:H7" si="4">IFERROR(G6/SUM($G$4:$G$10),0)</f>
        <v>0</v>
      </c>
      <c r="I6" s="99">
        <v>0</v>
      </c>
      <c r="K6" s="106" t="s">
        <v>55</v>
      </c>
      <c r="L6" s="108"/>
      <c r="M6" s="109" t="s">
        <v>49</v>
      </c>
    </row>
    <row r="7" spans="1:60" ht="16.2" thickBot="1" x14ac:dyDescent="0.35">
      <c r="C7" s="84"/>
      <c r="D7" s="95">
        <v>0.13</v>
      </c>
      <c r="E7" s="84" t="s">
        <v>56</v>
      </c>
      <c r="F7" s="96">
        <v>0.05</v>
      </c>
      <c r="G7" s="97">
        <v>0</v>
      </c>
      <c r="H7" s="105">
        <f t="shared" si="4"/>
        <v>0</v>
      </c>
      <c r="I7" s="99">
        <v>0.02</v>
      </c>
      <c r="K7" s="110" t="s">
        <v>57</v>
      </c>
      <c r="L7" s="111"/>
      <c r="M7" s="112">
        <v>0.01</v>
      </c>
      <c r="O7" s="92" t="s">
        <v>58</v>
      </c>
    </row>
    <row r="8" spans="1:60" x14ac:dyDescent="0.3">
      <c r="B8" s="83" t="s">
        <v>59</v>
      </c>
      <c r="C8" s="84"/>
      <c r="D8" s="113"/>
      <c r="E8" s="84"/>
      <c r="F8" s="84"/>
      <c r="G8" s="84"/>
      <c r="H8" s="114"/>
      <c r="I8" s="115"/>
      <c r="O8" s="83" t="str">
        <f>E4</f>
        <v>Equity</v>
      </c>
      <c r="P8" s="116">
        <f>I4</f>
        <v>0.77859999999999996</v>
      </c>
      <c r="Q8" s="117">
        <f ca="1">P8-IFERROR(VLOOKUP(Q$2&amp;$O8,$B$26:$G$36,4,FALSE),0)+IFERROR(VLOOKUP(Q$2&amp;$O8,$A$26:$G$36,5,FALSE),0)</f>
        <v>0.77859999999999996</v>
      </c>
      <c r="R8" s="118">
        <f t="shared" ref="R8:AG12" ca="1" si="5">Q8-IFERROR(VLOOKUP(R$2&amp;$O8,$B$26:$G$36,4,FALSE),0)+IFERROR(VLOOKUP(R$2&amp;$O8,$A$26:$G$36,5,FALSE),0)</f>
        <v>0.77859999999999996</v>
      </c>
      <c r="S8" s="118">
        <f t="shared" ca="1" si="5"/>
        <v>0.77859999999999996</v>
      </c>
      <c r="T8" s="118">
        <f t="shared" ca="1" si="5"/>
        <v>0.77859999999999996</v>
      </c>
      <c r="U8" s="118">
        <f t="shared" ca="1" si="5"/>
        <v>0.77859999999999996</v>
      </c>
      <c r="V8" s="118">
        <f t="shared" ca="1" si="5"/>
        <v>0.77859999999999996</v>
      </c>
      <c r="W8" s="118">
        <f t="shared" ca="1" si="5"/>
        <v>0.72859999999999991</v>
      </c>
      <c r="X8" s="118">
        <f t="shared" ca="1" si="5"/>
        <v>0.72859999999999991</v>
      </c>
      <c r="Y8" s="118">
        <f t="shared" ca="1" si="5"/>
        <v>0.72859999999999991</v>
      </c>
      <c r="Z8" s="118">
        <f t="shared" ca="1" si="5"/>
        <v>0.72859999999999991</v>
      </c>
      <c r="AA8" s="118">
        <f t="shared" ca="1" si="5"/>
        <v>0.72859999999999991</v>
      </c>
      <c r="AB8" s="118">
        <f t="shared" ca="1" si="5"/>
        <v>0.67859999999999987</v>
      </c>
      <c r="AC8" s="118">
        <f t="shared" ca="1" si="5"/>
        <v>0.67859999999999987</v>
      </c>
      <c r="AD8" s="118">
        <f ca="1">AC8-IFERROR(VLOOKUP(AD$2&amp;$O8,$B$26:$G$36,4,FALSE),0)+IFERROR(VLOOKUP(AD$2&amp;$O8,$A$26:$G$36,5,FALSE),0)</f>
        <v>0.67859999999999987</v>
      </c>
      <c r="AE8" s="118">
        <f t="shared" ca="1" si="5"/>
        <v>0.67859999999999987</v>
      </c>
      <c r="AF8" s="118">
        <f t="shared" ca="1" si="5"/>
        <v>0.67859999999999987</v>
      </c>
      <c r="AG8" s="118">
        <f t="shared" ca="1" si="5"/>
        <v>0.62859999999999983</v>
      </c>
      <c r="AH8" s="118">
        <f t="shared" ref="AH8:AW12" ca="1" si="6">AG8-IFERROR(VLOOKUP(AH$2&amp;$O8,$B$26:$G$36,4,FALSE),0)+IFERROR(VLOOKUP(AH$2&amp;$O8,$A$26:$G$36,5,FALSE),0)</f>
        <v>0.62859999999999983</v>
      </c>
      <c r="AI8" s="118">
        <f t="shared" ca="1" si="6"/>
        <v>0.62859999999999983</v>
      </c>
      <c r="AJ8" s="118">
        <f t="shared" ca="1" si="6"/>
        <v>0.62859999999999983</v>
      </c>
      <c r="AK8" s="118">
        <f t="shared" ca="1" si="6"/>
        <v>0.62859999999999983</v>
      </c>
      <c r="AL8" s="118">
        <f t="shared" ca="1" si="6"/>
        <v>0.57859999999999978</v>
      </c>
      <c r="AM8" s="118">
        <f t="shared" ca="1" si="6"/>
        <v>0.57859999999999978</v>
      </c>
      <c r="AN8" s="118">
        <f t="shared" ca="1" si="6"/>
        <v>0.57859999999999978</v>
      </c>
      <c r="AO8" s="118">
        <f t="shared" ca="1" si="6"/>
        <v>0.57859999999999978</v>
      </c>
      <c r="AP8" s="118">
        <f t="shared" ca="1" si="6"/>
        <v>0.57859999999999978</v>
      </c>
      <c r="AQ8" s="118">
        <f t="shared" ca="1" si="6"/>
        <v>0.52859999999999974</v>
      </c>
      <c r="AR8" s="118">
        <f t="shared" ca="1" si="6"/>
        <v>0.52859999999999974</v>
      </c>
      <c r="AS8" s="118">
        <f t="shared" ca="1" si="6"/>
        <v>0.52859999999999974</v>
      </c>
      <c r="AT8" s="118">
        <f t="shared" ca="1" si="6"/>
        <v>0.52859999999999974</v>
      </c>
      <c r="AU8" s="118">
        <f t="shared" ca="1" si="6"/>
        <v>0.52859999999999974</v>
      </c>
      <c r="AV8" s="118">
        <f t="shared" ca="1" si="6"/>
        <v>0.47859999999999975</v>
      </c>
      <c r="AW8" s="118">
        <f t="shared" ca="1" si="6"/>
        <v>0.47859999999999975</v>
      </c>
      <c r="AX8" s="118">
        <f t="shared" ref="AX8:BH12" ca="1" si="7">AW8-IFERROR(VLOOKUP(AX$2&amp;$O8,$B$26:$G$36,4,FALSE),0)+IFERROR(VLOOKUP(AX$2&amp;$O8,$A$26:$G$36,5,FALSE),0)</f>
        <v>0.47859999999999975</v>
      </c>
      <c r="AY8" s="118">
        <f t="shared" ca="1" si="7"/>
        <v>0.47859999999999975</v>
      </c>
      <c r="AZ8" s="118">
        <f t="shared" ca="1" si="7"/>
        <v>0.47859999999999975</v>
      </c>
      <c r="BA8" s="118">
        <f t="shared" ca="1" si="7"/>
        <v>0.47859999999999975</v>
      </c>
      <c r="BB8" s="118">
        <f t="shared" ca="1" si="7"/>
        <v>0.47859999999999975</v>
      </c>
      <c r="BC8" s="118">
        <f t="shared" ca="1" si="7"/>
        <v>0.47859999999999975</v>
      </c>
      <c r="BD8" s="118">
        <f t="shared" ca="1" si="7"/>
        <v>0.47859999999999975</v>
      </c>
      <c r="BE8" s="118">
        <f t="shared" ca="1" si="7"/>
        <v>0.47859999999999975</v>
      </c>
      <c r="BF8" s="118">
        <f t="shared" ca="1" si="7"/>
        <v>0.47859999999999975</v>
      </c>
      <c r="BG8" s="118">
        <f t="shared" ca="1" si="7"/>
        <v>0.47859999999999975</v>
      </c>
      <c r="BH8" s="118">
        <f t="shared" ca="1" si="7"/>
        <v>0.47859999999999975</v>
      </c>
    </row>
    <row r="9" spans="1:60" x14ac:dyDescent="0.3">
      <c r="B9" s="83" t="s">
        <v>60</v>
      </c>
      <c r="C9" s="84"/>
      <c r="D9" s="119" t="s">
        <v>61</v>
      </c>
      <c r="E9" s="120"/>
      <c r="F9" s="120"/>
      <c r="G9" s="120"/>
      <c r="H9" s="121"/>
      <c r="I9" s="122"/>
      <c r="J9" s="123"/>
      <c r="O9" s="83" t="str">
        <f>E5</f>
        <v>Fixed Income</v>
      </c>
      <c r="P9" s="116">
        <f>I5</f>
        <v>0.09</v>
      </c>
      <c r="Q9" s="118">
        <f t="shared" ref="Q9:AF12" ca="1" si="8">P9-IFERROR(VLOOKUP(Q$2&amp;$O9,$B$26:$G$36,4,FALSE),0)+IFERROR(VLOOKUP(Q$2&amp;$O9,$A$26:$G$36,5,FALSE),0)</f>
        <v>0.09</v>
      </c>
      <c r="R9" s="118">
        <f t="shared" ca="1" si="8"/>
        <v>0.09</v>
      </c>
      <c r="S9" s="118">
        <f t="shared" ca="1" si="8"/>
        <v>0.09</v>
      </c>
      <c r="T9" s="118">
        <f t="shared" ca="1" si="8"/>
        <v>0.09</v>
      </c>
      <c r="U9" s="118">
        <f t="shared" ca="1" si="8"/>
        <v>0.09</v>
      </c>
      <c r="V9" s="118">
        <f t="shared" ca="1" si="8"/>
        <v>0.09</v>
      </c>
      <c r="W9" s="118">
        <f t="shared" ca="1" si="8"/>
        <v>0.14000000000000001</v>
      </c>
      <c r="X9" s="118">
        <f t="shared" ca="1" si="8"/>
        <v>0.14000000000000001</v>
      </c>
      <c r="Y9" s="118">
        <f t="shared" ca="1" si="8"/>
        <v>0.14000000000000001</v>
      </c>
      <c r="Z9" s="118">
        <f t="shared" ca="1" si="8"/>
        <v>0.14000000000000001</v>
      </c>
      <c r="AA9" s="118">
        <f t="shared" ca="1" si="8"/>
        <v>0.14000000000000001</v>
      </c>
      <c r="AB9" s="118">
        <f t="shared" ca="1" si="8"/>
        <v>0.19</v>
      </c>
      <c r="AC9" s="118">
        <f t="shared" ca="1" si="8"/>
        <v>0.19</v>
      </c>
      <c r="AD9" s="118">
        <f t="shared" ca="1" si="8"/>
        <v>0.19</v>
      </c>
      <c r="AE9" s="118">
        <f t="shared" ca="1" si="8"/>
        <v>0.19</v>
      </c>
      <c r="AF9" s="118">
        <f t="shared" ca="1" si="8"/>
        <v>0.19</v>
      </c>
      <c r="AG9" s="118">
        <f t="shared" ca="1" si="5"/>
        <v>0.24</v>
      </c>
      <c r="AH9" s="118">
        <f t="shared" ca="1" si="6"/>
        <v>0.24</v>
      </c>
      <c r="AI9" s="118">
        <f t="shared" ca="1" si="6"/>
        <v>0.24</v>
      </c>
      <c r="AJ9" s="118">
        <f t="shared" ca="1" si="6"/>
        <v>0.24</v>
      </c>
      <c r="AK9" s="118">
        <f t="shared" ca="1" si="6"/>
        <v>0.24</v>
      </c>
      <c r="AL9" s="118">
        <f t="shared" ca="1" si="6"/>
        <v>0.28999999999999998</v>
      </c>
      <c r="AM9" s="118">
        <f t="shared" ca="1" si="6"/>
        <v>0.28999999999999998</v>
      </c>
      <c r="AN9" s="118">
        <f t="shared" ca="1" si="6"/>
        <v>0.28999999999999998</v>
      </c>
      <c r="AO9" s="118">
        <f t="shared" ca="1" si="6"/>
        <v>0.28999999999999998</v>
      </c>
      <c r="AP9" s="118">
        <f t="shared" ca="1" si="6"/>
        <v>0.28999999999999998</v>
      </c>
      <c r="AQ9" s="118">
        <f t="shared" ca="1" si="6"/>
        <v>0.33999999999999997</v>
      </c>
      <c r="AR9" s="118">
        <f t="shared" ca="1" si="6"/>
        <v>0.33999999999999997</v>
      </c>
      <c r="AS9" s="118">
        <f t="shared" ca="1" si="6"/>
        <v>0.33999999999999997</v>
      </c>
      <c r="AT9" s="118">
        <f t="shared" ca="1" si="6"/>
        <v>0.33999999999999997</v>
      </c>
      <c r="AU9" s="118">
        <f t="shared" ca="1" si="6"/>
        <v>0.33999999999999997</v>
      </c>
      <c r="AV9" s="118">
        <f t="shared" ca="1" si="6"/>
        <v>0.38999999999999996</v>
      </c>
      <c r="AW9" s="118">
        <f t="shared" ca="1" si="6"/>
        <v>0.38999999999999996</v>
      </c>
      <c r="AX9" s="118">
        <f t="shared" ca="1" si="7"/>
        <v>0.38999999999999996</v>
      </c>
      <c r="AY9" s="118">
        <f t="shared" ca="1" si="7"/>
        <v>0.38999999999999996</v>
      </c>
      <c r="AZ9" s="118">
        <f t="shared" ca="1" si="7"/>
        <v>0.38999999999999996</v>
      </c>
      <c r="BA9" s="118">
        <f t="shared" ca="1" si="7"/>
        <v>0.38999999999999996</v>
      </c>
      <c r="BB9" s="118">
        <f t="shared" ca="1" si="7"/>
        <v>0.38999999999999996</v>
      </c>
      <c r="BC9" s="118">
        <f t="shared" ca="1" si="7"/>
        <v>0.38999999999999996</v>
      </c>
      <c r="BD9" s="118">
        <f t="shared" ca="1" si="7"/>
        <v>0.38999999999999996</v>
      </c>
      <c r="BE9" s="118">
        <f t="shared" ca="1" si="7"/>
        <v>0.38999999999999996</v>
      </c>
      <c r="BF9" s="118">
        <f t="shared" ca="1" si="7"/>
        <v>0.38999999999999996</v>
      </c>
      <c r="BG9" s="118">
        <f t="shared" ca="1" si="7"/>
        <v>0.38999999999999996</v>
      </c>
      <c r="BH9" s="118">
        <f t="shared" ca="1" si="7"/>
        <v>0.38999999999999996</v>
      </c>
    </row>
    <row r="10" spans="1:60" ht="16.2" thickBot="1" x14ac:dyDescent="0.35">
      <c r="C10" s="84"/>
      <c r="D10" s="124"/>
      <c r="E10" s="125" t="s">
        <v>62</v>
      </c>
      <c r="F10" s="126">
        <v>5.0000000000000001E-3</v>
      </c>
      <c r="G10" s="127">
        <f>[1]Summary!I8</f>
        <v>0</v>
      </c>
      <c r="H10" s="128" t="e">
        <f>G10/SUM($G$4:$G$10)</f>
        <v>#DIV/0!</v>
      </c>
      <c r="I10" s="129">
        <f>[1]Summary!E15/('Monte Carlo'!$M$3/12)</f>
        <v>0.12</v>
      </c>
      <c r="O10" s="83" t="str">
        <f>E6</f>
        <v>Alts</v>
      </c>
      <c r="P10" s="116">
        <f>I6</f>
        <v>0</v>
      </c>
      <c r="Q10" s="118">
        <f ca="1">P10-IFERROR(VLOOKUP(Q$2&amp;$O10,$B$26:$G$36,4,FALSE),0)+IFERROR(VLOOKUP(Q$2&amp;$O10,$A$26:$G$36,5,FALSE),0)</f>
        <v>0</v>
      </c>
      <c r="R10" s="118">
        <f t="shared" ca="1" si="8"/>
        <v>0</v>
      </c>
      <c r="S10" s="118">
        <f t="shared" ca="1" si="8"/>
        <v>0</v>
      </c>
      <c r="T10" s="118">
        <f t="shared" ca="1" si="8"/>
        <v>0</v>
      </c>
      <c r="U10" s="118">
        <f t="shared" ca="1" si="8"/>
        <v>0</v>
      </c>
      <c r="V10" s="118">
        <f t="shared" ca="1" si="8"/>
        <v>0</v>
      </c>
      <c r="W10" s="118">
        <f t="shared" ca="1" si="8"/>
        <v>0</v>
      </c>
      <c r="X10" s="118">
        <f t="shared" ca="1" si="8"/>
        <v>0</v>
      </c>
      <c r="Y10" s="118">
        <f t="shared" ca="1" si="8"/>
        <v>0</v>
      </c>
      <c r="Z10" s="118">
        <f t="shared" ca="1" si="8"/>
        <v>0</v>
      </c>
      <c r="AA10" s="118">
        <f t="shared" ca="1" si="8"/>
        <v>0</v>
      </c>
      <c r="AB10" s="118">
        <f t="shared" ca="1" si="8"/>
        <v>0</v>
      </c>
      <c r="AC10" s="118">
        <f t="shared" ca="1" si="8"/>
        <v>0</v>
      </c>
      <c r="AD10" s="118">
        <f t="shared" ca="1" si="8"/>
        <v>0</v>
      </c>
      <c r="AE10" s="118">
        <f t="shared" ca="1" si="8"/>
        <v>0</v>
      </c>
      <c r="AF10" s="118">
        <f t="shared" ca="1" si="8"/>
        <v>0</v>
      </c>
      <c r="AG10" s="118">
        <f t="shared" ca="1" si="5"/>
        <v>0</v>
      </c>
      <c r="AH10" s="118">
        <f t="shared" ca="1" si="6"/>
        <v>0</v>
      </c>
      <c r="AI10" s="118">
        <f t="shared" ca="1" si="6"/>
        <v>0</v>
      </c>
      <c r="AJ10" s="118">
        <f t="shared" ca="1" si="6"/>
        <v>0</v>
      </c>
      <c r="AK10" s="118">
        <f t="shared" ca="1" si="6"/>
        <v>0</v>
      </c>
      <c r="AL10" s="118">
        <f t="shared" ca="1" si="6"/>
        <v>0</v>
      </c>
      <c r="AM10" s="118">
        <f t="shared" ca="1" si="6"/>
        <v>0</v>
      </c>
      <c r="AN10" s="118">
        <f t="shared" ca="1" si="6"/>
        <v>0</v>
      </c>
      <c r="AO10" s="118">
        <f t="shared" ca="1" si="6"/>
        <v>0</v>
      </c>
      <c r="AP10" s="118">
        <f t="shared" ca="1" si="6"/>
        <v>0</v>
      </c>
      <c r="AQ10" s="118">
        <f t="shared" ca="1" si="6"/>
        <v>0</v>
      </c>
      <c r="AR10" s="118">
        <f t="shared" ca="1" si="6"/>
        <v>0</v>
      </c>
      <c r="AS10" s="118">
        <f t="shared" ca="1" si="6"/>
        <v>0</v>
      </c>
      <c r="AT10" s="118">
        <f t="shared" ca="1" si="6"/>
        <v>0</v>
      </c>
      <c r="AU10" s="118">
        <f t="shared" ca="1" si="6"/>
        <v>0</v>
      </c>
      <c r="AV10" s="118">
        <f t="shared" ca="1" si="6"/>
        <v>0</v>
      </c>
      <c r="AW10" s="118">
        <f t="shared" ca="1" si="6"/>
        <v>0</v>
      </c>
      <c r="AX10" s="118">
        <f t="shared" ca="1" si="7"/>
        <v>0</v>
      </c>
      <c r="AY10" s="118">
        <f t="shared" ca="1" si="7"/>
        <v>0</v>
      </c>
      <c r="AZ10" s="118">
        <f t="shared" ca="1" si="7"/>
        <v>0</v>
      </c>
      <c r="BA10" s="118">
        <f t="shared" ca="1" si="7"/>
        <v>0</v>
      </c>
      <c r="BB10" s="118">
        <f t="shared" ca="1" si="7"/>
        <v>0</v>
      </c>
      <c r="BC10" s="118">
        <f t="shared" ca="1" si="7"/>
        <v>0</v>
      </c>
      <c r="BD10" s="118">
        <f t="shared" ca="1" si="7"/>
        <v>0</v>
      </c>
      <c r="BE10" s="118">
        <f t="shared" ca="1" si="7"/>
        <v>0</v>
      </c>
      <c r="BF10" s="118">
        <f t="shared" ca="1" si="7"/>
        <v>0</v>
      </c>
      <c r="BG10" s="118">
        <f t="shared" ca="1" si="7"/>
        <v>0</v>
      </c>
      <c r="BH10" s="118">
        <f t="shared" ca="1" si="7"/>
        <v>0</v>
      </c>
    </row>
    <row r="11" spans="1:60" ht="17.25" customHeight="1" x14ac:dyDescent="0.3">
      <c r="C11" s="84"/>
      <c r="O11" s="83" t="str">
        <f>E7</f>
        <v>Real Estate</v>
      </c>
      <c r="P11" s="116">
        <f>I7</f>
        <v>0.02</v>
      </c>
      <c r="Q11" s="130">
        <f ca="1">P11-IFERROR(VLOOKUP(Q$2&amp;$O11,$B$26:$G$36,4,FALSE),0)+IFERROR(VLOOKUP(Q$2&amp;$O11,$A$26:$G$36,5,FALSE),0)</f>
        <v>0.02</v>
      </c>
      <c r="R11" s="130">
        <f t="shared" ca="1" si="8"/>
        <v>0.02</v>
      </c>
      <c r="S11" s="130">
        <f t="shared" ca="1" si="8"/>
        <v>0.02</v>
      </c>
      <c r="T11" s="130">
        <f t="shared" ca="1" si="8"/>
        <v>0.02</v>
      </c>
      <c r="U11" s="130">
        <f t="shared" ca="1" si="8"/>
        <v>0.02</v>
      </c>
      <c r="V11" s="130">
        <f t="shared" ca="1" si="8"/>
        <v>0.02</v>
      </c>
      <c r="W11" s="130">
        <f t="shared" ca="1" si="8"/>
        <v>0.02</v>
      </c>
      <c r="X11" s="130">
        <f t="shared" ca="1" si="8"/>
        <v>0.02</v>
      </c>
      <c r="Y11" s="130">
        <f t="shared" ca="1" si="8"/>
        <v>0.02</v>
      </c>
      <c r="Z11" s="130">
        <f t="shared" ca="1" si="8"/>
        <v>0.02</v>
      </c>
      <c r="AA11" s="130">
        <f t="shared" ca="1" si="8"/>
        <v>0.02</v>
      </c>
      <c r="AB11" s="130">
        <f t="shared" ca="1" si="8"/>
        <v>0.02</v>
      </c>
      <c r="AC11" s="130">
        <f t="shared" ca="1" si="8"/>
        <v>0.02</v>
      </c>
      <c r="AD11" s="130">
        <f t="shared" ca="1" si="8"/>
        <v>0.02</v>
      </c>
      <c r="AE11" s="130">
        <f t="shared" ca="1" si="8"/>
        <v>0.02</v>
      </c>
      <c r="AF11" s="130">
        <f t="shared" ca="1" si="8"/>
        <v>0.02</v>
      </c>
      <c r="AG11" s="130">
        <f t="shared" ca="1" si="5"/>
        <v>0.02</v>
      </c>
      <c r="AH11" s="130">
        <f t="shared" ca="1" si="6"/>
        <v>0.02</v>
      </c>
      <c r="AI11" s="130">
        <f t="shared" ca="1" si="6"/>
        <v>0.02</v>
      </c>
      <c r="AJ11" s="130">
        <f t="shared" ca="1" si="6"/>
        <v>0.02</v>
      </c>
      <c r="AK11" s="130">
        <f t="shared" ca="1" si="6"/>
        <v>0.02</v>
      </c>
      <c r="AL11" s="130">
        <f t="shared" ca="1" si="6"/>
        <v>0.02</v>
      </c>
      <c r="AM11" s="130">
        <f t="shared" ca="1" si="6"/>
        <v>0.02</v>
      </c>
      <c r="AN11" s="130">
        <f t="shared" ca="1" si="6"/>
        <v>0.02</v>
      </c>
      <c r="AO11" s="130">
        <f t="shared" ca="1" si="6"/>
        <v>0.02</v>
      </c>
      <c r="AP11" s="130">
        <f t="shared" ca="1" si="6"/>
        <v>0.02</v>
      </c>
      <c r="AQ11" s="130">
        <f t="shared" ca="1" si="6"/>
        <v>0.02</v>
      </c>
      <c r="AR11" s="130">
        <f t="shared" ca="1" si="6"/>
        <v>0.02</v>
      </c>
      <c r="AS11" s="130">
        <f t="shared" ca="1" si="6"/>
        <v>0.02</v>
      </c>
      <c r="AT11" s="130">
        <f t="shared" ca="1" si="6"/>
        <v>0.02</v>
      </c>
      <c r="AU11" s="130">
        <f t="shared" ca="1" si="6"/>
        <v>0.02</v>
      </c>
      <c r="AV11" s="130">
        <f t="shared" ca="1" si="6"/>
        <v>0.02</v>
      </c>
      <c r="AW11" s="130">
        <f t="shared" ca="1" si="6"/>
        <v>0.02</v>
      </c>
      <c r="AX11" s="130">
        <f t="shared" ca="1" si="7"/>
        <v>0.02</v>
      </c>
      <c r="AY11" s="130">
        <f t="shared" ca="1" si="7"/>
        <v>0.02</v>
      </c>
      <c r="AZ11" s="130">
        <f t="shared" ca="1" si="7"/>
        <v>0.02</v>
      </c>
      <c r="BA11" s="130">
        <f t="shared" ca="1" si="7"/>
        <v>0.02</v>
      </c>
      <c r="BB11" s="130">
        <f t="shared" ca="1" si="7"/>
        <v>0.02</v>
      </c>
      <c r="BC11" s="130">
        <f t="shared" ca="1" si="7"/>
        <v>0.02</v>
      </c>
      <c r="BD11" s="130">
        <f t="shared" ca="1" si="7"/>
        <v>0.02</v>
      </c>
      <c r="BE11" s="130">
        <f t="shared" ca="1" si="7"/>
        <v>0.02</v>
      </c>
      <c r="BF11" s="130">
        <f t="shared" ca="1" si="7"/>
        <v>0.02</v>
      </c>
      <c r="BG11" s="130">
        <f t="shared" ca="1" si="7"/>
        <v>0.02</v>
      </c>
      <c r="BH11" s="130">
        <f t="shared" ca="1" si="7"/>
        <v>0.02</v>
      </c>
    </row>
    <row r="12" spans="1:60" ht="16.2" thickBot="1" x14ac:dyDescent="0.35">
      <c r="C12" s="84"/>
      <c r="O12" s="83" t="s">
        <v>61</v>
      </c>
      <c r="P12" s="131">
        <f>I10</f>
        <v>0.12</v>
      </c>
      <c r="Q12" s="118">
        <f ca="1">P12-IFERROR(VLOOKUP(Q$2&amp;$O12,$B$26:$G$36,4,FALSE),0)+IFERROR(VLOOKUP(Q$2&amp;$O12,$A$26:$G$36,5,FALSE),0)</f>
        <v>0.12</v>
      </c>
      <c r="R12" s="118">
        <f t="shared" ca="1" si="8"/>
        <v>0.12</v>
      </c>
      <c r="S12" s="118">
        <f t="shared" ca="1" si="8"/>
        <v>0.12</v>
      </c>
      <c r="T12" s="118">
        <f t="shared" ca="1" si="8"/>
        <v>0.12</v>
      </c>
      <c r="U12" s="118">
        <f t="shared" ca="1" si="8"/>
        <v>0.12</v>
      </c>
      <c r="V12" s="118">
        <f t="shared" ca="1" si="8"/>
        <v>0.12</v>
      </c>
      <c r="W12" s="118">
        <f t="shared" ca="1" si="8"/>
        <v>0.12</v>
      </c>
      <c r="X12" s="118">
        <f t="shared" ca="1" si="8"/>
        <v>0.12</v>
      </c>
      <c r="Y12" s="118">
        <f t="shared" ca="1" si="8"/>
        <v>0.12</v>
      </c>
      <c r="Z12" s="118">
        <f t="shared" ca="1" si="8"/>
        <v>0.12</v>
      </c>
      <c r="AA12" s="118">
        <f t="shared" ca="1" si="8"/>
        <v>0.12</v>
      </c>
      <c r="AB12" s="118">
        <f t="shared" ca="1" si="8"/>
        <v>0.12</v>
      </c>
      <c r="AC12" s="118">
        <f t="shared" ca="1" si="8"/>
        <v>0.12</v>
      </c>
      <c r="AD12" s="118">
        <f t="shared" ca="1" si="8"/>
        <v>0.12</v>
      </c>
      <c r="AE12" s="118">
        <f t="shared" ca="1" si="8"/>
        <v>0.12</v>
      </c>
      <c r="AF12" s="118">
        <f t="shared" ca="1" si="8"/>
        <v>0.12</v>
      </c>
      <c r="AG12" s="118">
        <f t="shared" ca="1" si="5"/>
        <v>0.12</v>
      </c>
      <c r="AH12" s="118">
        <f t="shared" ca="1" si="6"/>
        <v>0.12</v>
      </c>
      <c r="AI12" s="118">
        <f t="shared" ca="1" si="6"/>
        <v>0.12</v>
      </c>
      <c r="AJ12" s="118">
        <f t="shared" ca="1" si="6"/>
        <v>0.12</v>
      </c>
      <c r="AK12" s="118">
        <f t="shared" ca="1" si="6"/>
        <v>0.12</v>
      </c>
      <c r="AL12" s="118">
        <f t="shared" ca="1" si="6"/>
        <v>0.12</v>
      </c>
      <c r="AM12" s="118">
        <f t="shared" ca="1" si="6"/>
        <v>0.12</v>
      </c>
      <c r="AN12" s="118">
        <f t="shared" ca="1" si="6"/>
        <v>0.12</v>
      </c>
      <c r="AO12" s="118">
        <f t="shared" ca="1" si="6"/>
        <v>0.12</v>
      </c>
      <c r="AP12" s="118">
        <f t="shared" ca="1" si="6"/>
        <v>0.12</v>
      </c>
      <c r="AQ12" s="118">
        <f t="shared" ca="1" si="6"/>
        <v>0.12</v>
      </c>
      <c r="AR12" s="118">
        <f t="shared" ca="1" si="6"/>
        <v>0.12</v>
      </c>
      <c r="AS12" s="118">
        <f t="shared" ca="1" si="6"/>
        <v>0.12</v>
      </c>
      <c r="AT12" s="118">
        <f t="shared" ca="1" si="6"/>
        <v>0.12</v>
      </c>
      <c r="AU12" s="118">
        <f t="shared" ca="1" si="6"/>
        <v>0.12</v>
      </c>
      <c r="AV12" s="118">
        <f t="shared" ca="1" si="6"/>
        <v>0.12</v>
      </c>
      <c r="AW12" s="118">
        <f t="shared" ca="1" si="6"/>
        <v>0.12</v>
      </c>
      <c r="AX12" s="118">
        <f t="shared" ca="1" si="7"/>
        <v>0.12</v>
      </c>
      <c r="AY12" s="118">
        <f t="shared" ca="1" si="7"/>
        <v>0.12</v>
      </c>
      <c r="AZ12" s="118">
        <f t="shared" ca="1" si="7"/>
        <v>0.12</v>
      </c>
      <c r="BA12" s="118">
        <f t="shared" ca="1" si="7"/>
        <v>0.12</v>
      </c>
      <c r="BB12" s="118">
        <f t="shared" ca="1" si="7"/>
        <v>0.12</v>
      </c>
      <c r="BC12" s="118">
        <f t="shared" ca="1" si="7"/>
        <v>0.12</v>
      </c>
      <c r="BD12" s="118">
        <f t="shared" ca="1" si="7"/>
        <v>0.12</v>
      </c>
      <c r="BE12" s="118">
        <f t="shared" ca="1" si="7"/>
        <v>0.12</v>
      </c>
      <c r="BF12" s="118">
        <f t="shared" ca="1" si="7"/>
        <v>0.12</v>
      </c>
      <c r="BG12" s="118">
        <f t="shared" ca="1" si="7"/>
        <v>0.12</v>
      </c>
      <c r="BH12" s="118">
        <f t="shared" ca="1" si="7"/>
        <v>0.12</v>
      </c>
    </row>
    <row r="13" spans="1:60" ht="18.600000000000001" thickBot="1" x14ac:dyDescent="0.35">
      <c r="C13" s="84"/>
      <c r="D13" s="132" t="s">
        <v>63</v>
      </c>
      <c r="E13" s="133"/>
      <c r="F13" s="133"/>
      <c r="G13" s="134"/>
      <c r="H13" s="135"/>
      <c r="I13" s="84"/>
    </row>
    <row r="14" spans="1:60" x14ac:dyDescent="0.3">
      <c r="C14" s="84"/>
      <c r="D14" s="136" t="s">
        <v>38</v>
      </c>
      <c r="E14" s="87" t="s">
        <v>64</v>
      </c>
      <c r="F14" s="87" t="s">
        <v>65</v>
      </c>
      <c r="G14" s="89" t="s">
        <v>66</v>
      </c>
      <c r="H14" s="84"/>
      <c r="I14" s="84"/>
      <c r="O14" s="92" t="s">
        <v>67</v>
      </c>
    </row>
    <row r="15" spans="1:60" x14ac:dyDescent="0.3">
      <c r="C15" s="84"/>
      <c r="D15" s="113">
        <v>2024</v>
      </c>
      <c r="E15" s="84" t="s">
        <v>68</v>
      </c>
      <c r="F15" s="137">
        <v>15000</v>
      </c>
      <c r="G15" s="138" t="s">
        <v>49</v>
      </c>
      <c r="I15" s="139">
        <f t="shared" ref="I15:I24" si="9">IF(G15="Yes",F15,0)</f>
        <v>15000</v>
      </c>
      <c r="O15" s="84" t="str">
        <f>"Addtl "&amp;O8</f>
        <v>Addtl Equity</v>
      </c>
      <c r="P15" s="94">
        <f>P$5*P8</f>
        <v>16739.899999999998</v>
      </c>
      <c r="Q15" s="94">
        <f t="shared" ref="Q15:BH15" ca="1" si="10">Q$5*Q8</f>
        <v>13430.849999999999</v>
      </c>
      <c r="R15" s="94">
        <f t="shared" ca="1" si="10"/>
        <v>13430.849999999999</v>
      </c>
      <c r="S15" s="94">
        <f t="shared" ca="1" si="10"/>
        <v>15766.65</v>
      </c>
      <c r="T15" s="94">
        <f t="shared" ca="1" si="10"/>
        <v>15766.65</v>
      </c>
      <c r="U15" s="94">
        <f t="shared" ca="1" si="10"/>
        <v>15766.65</v>
      </c>
      <c r="V15" s="94">
        <f t="shared" ca="1" si="10"/>
        <v>31338.649999999998</v>
      </c>
      <c r="W15" s="94">
        <f t="shared" ca="1" si="10"/>
        <v>14754.149999999998</v>
      </c>
      <c r="X15" s="94">
        <f t="shared" ca="1" si="10"/>
        <v>14754.149999999998</v>
      </c>
      <c r="Y15" s="94">
        <f t="shared" ca="1" si="10"/>
        <v>14754.149999999998</v>
      </c>
      <c r="Z15" s="94">
        <f t="shared" ca="1" si="10"/>
        <v>14754.149999999998</v>
      </c>
      <c r="AA15" s="94">
        <f t="shared" ca="1" si="10"/>
        <v>11475.449999999999</v>
      </c>
      <c r="AB15" s="94">
        <f t="shared" ca="1" si="10"/>
        <v>10687.949999999997</v>
      </c>
      <c r="AC15" s="94">
        <f t="shared" ca="1" si="10"/>
        <v>13232.699999999997</v>
      </c>
      <c r="AD15" s="94">
        <f t="shared" ca="1" si="10"/>
        <v>13232.699999999997</v>
      </c>
      <c r="AE15" s="94">
        <f t="shared" ca="1" si="10"/>
        <v>13232.699999999997</v>
      </c>
      <c r="AF15" s="94">
        <f t="shared" ca="1" si="10"/>
        <v>13232.699999999997</v>
      </c>
      <c r="AG15" s="94">
        <f t="shared" ca="1" si="10"/>
        <v>12257.699999999997</v>
      </c>
      <c r="AH15" s="94">
        <f t="shared" ca="1" si="10"/>
        <v>12257.699999999997</v>
      </c>
      <c r="AI15" s="94">
        <f t="shared" ca="1" si="10"/>
        <v>12257.699999999997</v>
      </c>
      <c r="AJ15" s="94">
        <f t="shared" ca="1" si="10"/>
        <v>12257.699999999997</v>
      </c>
      <c r="AK15" s="94">
        <f t="shared" ca="1" si="10"/>
        <v>12257.699999999997</v>
      </c>
      <c r="AL15" s="94">
        <f t="shared" ca="1" si="10"/>
        <v>11282.699999999995</v>
      </c>
      <c r="AM15" s="94">
        <f t="shared" ca="1" si="10"/>
        <v>11282.699999999995</v>
      </c>
      <c r="AN15" s="94">
        <f t="shared" ca="1" si="10"/>
        <v>11282.699999999995</v>
      </c>
      <c r="AO15" s="94">
        <f t="shared" ca="1" si="10"/>
        <v>11282.699999999995</v>
      </c>
      <c r="AP15" s="94">
        <f t="shared" ca="1" si="10"/>
        <v>11282.699999999995</v>
      </c>
      <c r="AQ15" s="94">
        <f t="shared" ca="1" si="10"/>
        <v>10307.699999999995</v>
      </c>
      <c r="AR15" s="94">
        <f t="shared" ca="1" si="10"/>
        <v>10307.699999999995</v>
      </c>
      <c r="AS15" s="94">
        <f t="shared" ca="1" si="10"/>
        <v>10307.699999999995</v>
      </c>
      <c r="AT15" s="94">
        <f t="shared" ca="1" si="10"/>
        <v>10307.699999999995</v>
      </c>
      <c r="AU15" s="94">
        <f t="shared" ca="1" si="10"/>
        <v>10307.699999999995</v>
      </c>
      <c r="AV15" s="94">
        <f t="shared" ca="1" si="10"/>
        <v>9332.6999999999953</v>
      </c>
      <c r="AW15" s="94">
        <f t="shared" ca="1" si="10"/>
        <v>9332.6999999999953</v>
      </c>
      <c r="AX15" s="94">
        <f t="shared" ca="1" si="10"/>
        <v>9332.6999999999953</v>
      </c>
      <c r="AY15" s="94">
        <f t="shared" ca="1" si="10"/>
        <v>9332.6999999999953</v>
      </c>
      <c r="AZ15" s="94">
        <f t="shared" ca="1" si="10"/>
        <v>9332.6999999999953</v>
      </c>
      <c r="BA15" s="94">
        <f t="shared" ca="1" si="10"/>
        <v>9332.6999999999953</v>
      </c>
      <c r="BB15" s="94">
        <f t="shared" ca="1" si="10"/>
        <v>9332.6999999999953</v>
      </c>
      <c r="BC15" s="94">
        <f t="shared" ca="1" si="10"/>
        <v>9332.6999999999953</v>
      </c>
      <c r="BD15" s="94">
        <f t="shared" ca="1" si="10"/>
        <v>9332.6999999999953</v>
      </c>
      <c r="BE15" s="94">
        <f t="shared" ca="1" si="10"/>
        <v>9332.6999999999953</v>
      </c>
      <c r="BF15" s="94">
        <f t="shared" ca="1" si="10"/>
        <v>9332.6999999999953</v>
      </c>
      <c r="BG15" s="94">
        <f t="shared" ca="1" si="10"/>
        <v>9332.6999999999953</v>
      </c>
      <c r="BH15" s="94">
        <f t="shared" ca="1" si="10"/>
        <v>9332.6999999999953</v>
      </c>
    </row>
    <row r="16" spans="1:60" x14ac:dyDescent="0.3">
      <c r="C16" s="84"/>
      <c r="D16" s="113">
        <v>2026</v>
      </c>
      <c r="E16" s="84" t="s">
        <v>68</v>
      </c>
      <c r="F16" s="137">
        <v>20000</v>
      </c>
      <c r="G16" s="138" t="s">
        <v>49</v>
      </c>
      <c r="I16" s="139">
        <f t="shared" si="9"/>
        <v>20000</v>
      </c>
      <c r="O16" s="84" t="str">
        <f>"Addtl "&amp;O9</f>
        <v>Addtl Fixed Income</v>
      </c>
      <c r="P16" s="94">
        <f t="shared" ref="P16:BH19" si="11">P$5*P9</f>
        <v>1934.9999999999995</v>
      </c>
      <c r="Q16" s="94">
        <f t="shared" ca="1" si="11"/>
        <v>1552.5</v>
      </c>
      <c r="R16" s="94">
        <f t="shared" ca="1" si="11"/>
        <v>1552.5</v>
      </c>
      <c r="S16" s="94">
        <f t="shared" ca="1" si="11"/>
        <v>1822.5</v>
      </c>
      <c r="T16" s="94">
        <f t="shared" ca="1" si="11"/>
        <v>1822.5</v>
      </c>
      <c r="U16" s="94">
        <f t="shared" ca="1" si="11"/>
        <v>1822.5</v>
      </c>
      <c r="V16" s="94">
        <f t="shared" ca="1" si="11"/>
        <v>3622.5</v>
      </c>
      <c r="W16" s="94">
        <f t="shared" ca="1" si="11"/>
        <v>2835.0000000000005</v>
      </c>
      <c r="X16" s="94">
        <f t="shared" ca="1" si="11"/>
        <v>2835.0000000000005</v>
      </c>
      <c r="Y16" s="94">
        <f t="shared" ca="1" si="11"/>
        <v>2835.0000000000005</v>
      </c>
      <c r="Z16" s="94">
        <f t="shared" ca="1" si="11"/>
        <v>2835.0000000000005</v>
      </c>
      <c r="AA16" s="94">
        <f t="shared" ca="1" si="11"/>
        <v>2205</v>
      </c>
      <c r="AB16" s="94">
        <f t="shared" ca="1" si="11"/>
        <v>2992.5</v>
      </c>
      <c r="AC16" s="94">
        <f t="shared" ca="1" si="11"/>
        <v>3705</v>
      </c>
      <c r="AD16" s="94">
        <f t="shared" ca="1" si="11"/>
        <v>3705</v>
      </c>
      <c r="AE16" s="94">
        <f t="shared" ca="1" si="11"/>
        <v>3705</v>
      </c>
      <c r="AF16" s="94">
        <f t="shared" ca="1" si="11"/>
        <v>3705</v>
      </c>
      <c r="AG16" s="94">
        <f t="shared" ca="1" si="11"/>
        <v>4680</v>
      </c>
      <c r="AH16" s="94">
        <f t="shared" ca="1" si="11"/>
        <v>4680</v>
      </c>
      <c r="AI16" s="94">
        <f t="shared" ca="1" si="11"/>
        <v>4680</v>
      </c>
      <c r="AJ16" s="94">
        <f t="shared" ca="1" si="11"/>
        <v>4680</v>
      </c>
      <c r="AK16" s="94">
        <f t="shared" ca="1" si="11"/>
        <v>4680</v>
      </c>
      <c r="AL16" s="94">
        <f t="shared" ca="1" si="11"/>
        <v>5655</v>
      </c>
      <c r="AM16" s="94">
        <f t="shared" ca="1" si="11"/>
        <v>5655</v>
      </c>
      <c r="AN16" s="94">
        <f t="shared" ca="1" si="11"/>
        <v>5655</v>
      </c>
      <c r="AO16" s="94">
        <f t="shared" ca="1" si="11"/>
        <v>5655</v>
      </c>
      <c r="AP16" s="94">
        <f t="shared" ca="1" si="11"/>
        <v>5655</v>
      </c>
      <c r="AQ16" s="94">
        <f t="shared" ca="1" si="11"/>
        <v>6629.9999999999991</v>
      </c>
      <c r="AR16" s="94">
        <f t="shared" ca="1" si="11"/>
        <v>6629.9999999999991</v>
      </c>
      <c r="AS16" s="94">
        <f t="shared" ca="1" si="11"/>
        <v>6629.9999999999991</v>
      </c>
      <c r="AT16" s="94">
        <f t="shared" ca="1" si="11"/>
        <v>6629.9999999999991</v>
      </c>
      <c r="AU16" s="94">
        <f t="shared" ca="1" si="11"/>
        <v>6629.9999999999991</v>
      </c>
      <c r="AV16" s="94">
        <f t="shared" ca="1" si="11"/>
        <v>7604.9999999999991</v>
      </c>
      <c r="AW16" s="94">
        <f t="shared" ca="1" si="11"/>
        <v>7604.9999999999991</v>
      </c>
      <c r="AX16" s="94">
        <f t="shared" ca="1" si="11"/>
        <v>7604.9999999999991</v>
      </c>
      <c r="AY16" s="94">
        <f t="shared" ca="1" si="11"/>
        <v>7604.9999999999991</v>
      </c>
      <c r="AZ16" s="94">
        <f t="shared" ca="1" si="11"/>
        <v>7604.9999999999991</v>
      </c>
      <c r="BA16" s="94">
        <f t="shared" ca="1" si="11"/>
        <v>7604.9999999999991</v>
      </c>
      <c r="BB16" s="94">
        <f t="shared" ca="1" si="11"/>
        <v>7604.9999999999991</v>
      </c>
      <c r="BC16" s="94">
        <f t="shared" ca="1" si="11"/>
        <v>7604.9999999999991</v>
      </c>
      <c r="BD16" s="94">
        <f t="shared" ca="1" si="11"/>
        <v>7604.9999999999991</v>
      </c>
      <c r="BE16" s="94">
        <f t="shared" ca="1" si="11"/>
        <v>7604.9999999999991</v>
      </c>
      <c r="BF16" s="94">
        <f t="shared" ca="1" si="11"/>
        <v>7604.9999999999991</v>
      </c>
      <c r="BG16" s="94">
        <f t="shared" ca="1" si="11"/>
        <v>7604.9999999999991</v>
      </c>
      <c r="BH16" s="94">
        <f t="shared" ca="1" si="11"/>
        <v>7604.9999999999991</v>
      </c>
    </row>
    <row r="17" spans="1:60" x14ac:dyDescent="0.3">
      <c r="C17" s="84"/>
      <c r="D17" s="113">
        <v>2034</v>
      </c>
      <c r="E17" s="84" t="s">
        <v>69</v>
      </c>
      <c r="F17" s="137">
        <v>-30000</v>
      </c>
      <c r="G17" s="138" t="s">
        <v>49</v>
      </c>
      <c r="I17" s="139">
        <f t="shared" si="9"/>
        <v>-30000</v>
      </c>
      <c r="O17" s="84" t="str">
        <f>"Addtl "&amp;O10</f>
        <v>Addtl Alts</v>
      </c>
      <c r="P17" s="94">
        <f t="shared" si="11"/>
        <v>0</v>
      </c>
      <c r="Q17" s="94">
        <f t="shared" ca="1" si="11"/>
        <v>0</v>
      </c>
      <c r="R17" s="94">
        <f t="shared" ca="1" si="11"/>
        <v>0</v>
      </c>
      <c r="S17" s="94">
        <f t="shared" ca="1" si="11"/>
        <v>0</v>
      </c>
      <c r="T17" s="94">
        <f t="shared" ca="1" si="11"/>
        <v>0</v>
      </c>
      <c r="U17" s="94">
        <f t="shared" ca="1" si="11"/>
        <v>0</v>
      </c>
      <c r="V17" s="94">
        <f t="shared" ca="1" si="11"/>
        <v>0</v>
      </c>
      <c r="W17" s="94">
        <f t="shared" ca="1" si="11"/>
        <v>0</v>
      </c>
      <c r="X17" s="94">
        <f t="shared" ca="1" si="11"/>
        <v>0</v>
      </c>
      <c r="Y17" s="94">
        <f t="shared" ca="1" si="11"/>
        <v>0</v>
      </c>
      <c r="Z17" s="94">
        <f t="shared" ca="1" si="11"/>
        <v>0</v>
      </c>
      <c r="AA17" s="94">
        <f t="shared" ca="1" si="11"/>
        <v>0</v>
      </c>
      <c r="AB17" s="94">
        <f t="shared" ca="1" si="11"/>
        <v>0</v>
      </c>
      <c r="AC17" s="94">
        <f t="shared" ca="1" si="11"/>
        <v>0</v>
      </c>
      <c r="AD17" s="94">
        <f t="shared" ca="1" si="11"/>
        <v>0</v>
      </c>
      <c r="AE17" s="94">
        <f t="shared" ca="1" si="11"/>
        <v>0</v>
      </c>
      <c r="AF17" s="94">
        <f t="shared" ca="1" si="11"/>
        <v>0</v>
      </c>
      <c r="AG17" s="94">
        <f t="shared" ca="1" si="11"/>
        <v>0</v>
      </c>
      <c r="AH17" s="94">
        <f t="shared" ca="1" si="11"/>
        <v>0</v>
      </c>
      <c r="AI17" s="94">
        <f t="shared" ca="1" si="11"/>
        <v>0</v>
      </c>
      <c r="AJ17" s="94">
        <f t="shared" ca="1" si="11"/>
        <v>0</v>
      </c>
      <c r="AK17" s="94">
        <f t="shared" ca="1" si="11"/>
        <v>0</v>
      </c>
      <c r="AL17" s="94">
        <f t="shared" ca="1" si="11"/>
        <v>0</v>
      </c>
      <c r="AM17" s="94">
        <f t="shared" ca="1" si="11"/>
        <v>0</v>
      </c>
      <c r="AN17" s="94">
        <f t="shared" ca="1" si="11"/>
        <v>0</v>
      </c>
      <c r="AO17" s="94">
        <f t="shared" ca="1" si="11"/>
        <v>0</v>
      </c>
      <c r="AP17" s="94">
        <f t="shared" ca="1" si="11"/>
        <v>0</v>
      </c>
      <c r="AQ17" s="94">
        <f t="shared" ca="1" si="11"/>
        <v>0</v>
      </c>
      <c r="AR17" s="94">
        <f t="shared" ca="1" si="11"/>
        <v>0</v>
      </c>
      <c r="AS17" s="94">
        <f t="shared" ca="1" si="11"/>
        <v>0</v>
      </c>
      <c r="AT17" s="94">
        <f t="shared" ca="1" si="11"/>
        <v>0</v>
      </c>
      <c r="AU17" s="94">
        <f t="shared" ca="1" si="11"/>
        <v>0</v>
      </c>
      <c r="AV17" s="94">
        <f t="shared" ca="1" si="11"/>
        <v>0</v>
      </c>
      <c r="AW17" s="94">
        <f t="shared" ca="1" si="11"/>
        <v>0</v>
      </c>
      <c r="AX17" s="94">
        <f t="shared" ca="1" si="11"/>
        <v>0</v>
      </c>
      <c r="AY17" s="94">
        <f t="shared" ca="1" si="11"/>
        <v>0</v>
      </c>
      <c r="AZ17" s="94">
        <f t="shared" ca="1" si="11"/>
        <v>0</v>
      </c>
      <c r="BA17" s="94">
        <f t="shared" ca="1" si="11"/>
        <v>0</v>
      </c>
      <c r="BB17" s="94">
        <f t="shared" ca="1" si="11"/>
        <v>0</v>
      </c>
      <c r="BC17" s="94">
        <f t="shared" ca="1" si="11"/>
        <v>0</v>
      </c>
      <c r="BD17" s="94">
        <f t="shared" ca="1" si="11"/>
        <v>0</v>
      </c>
      <c r="BE17" s="94">
        <f t="shared" ca="1" si="11"/>
        <v>0</v>
      </c>
      <c r="BF17" s="94">
        <f t="shared" ca="1" si="11"/>
        <v>0</v>
      </c>
      <c r="BG17" s="94">
        <f t="shared" ca="1" si="11"/>
        <v>0</v>
      </c>
      <c r="BH17" s="94">
        <f t="shared" ca="1" si="11"/>
        <v>0</v>
      </c>
    </row>
    <row r="18" spans="1:60" x14ac:dyDescent="0.3">
      <c r="C18" s="84"/>
      <c r="D18" s="113">
        <v>2029</v>
      </c>
      <c r="E18" s="84" t="s">
        <v>70</v>
      </c>
      <c r="F18" s="137">
        <v>20000</v>
      </c>
      <c r="G18" s="138" t="s">
        <v>53</v>
      </c>
      <c r="I18" s="139">
        <f t="shared" si="9"/>
        <v>0</v>
      </c>
      <c r="O18" s="84" t="str">
        <f>"Addtl "&amp;O11</f>
        <v>Addtl Real Estate</v>
      </c>
      <c r="P18" s="94">
        <f>P$5*P11</f>
        <v>429.99999999999994</v>
      </c>
      <c r="Q18" s="94">
        <f t="shared" ca="1" si="11"/>
        <v>345</v>
      </c>
      <c r="R18" s="94">
        <f t="shared" ca="1" si="11"/>
        <v>345</v>
      </c>
      <c r="S18" s="94">
        <f t="shared" ca="1" si="11"/>
        <v>405</v>
      </c>
      <c r="T18" s="94">
        <f t="shared" ca="1" si="11"/>
        <v>405</v>
      </c>
      <c r="U18" s="94">
        <f t="shared" ca="1" si="11"/>
        <v>405</v>
      </c>
      <c r="V18" s="94">
        <f t="shared" ca="1" si="11"/>
        <v>805</v>
      </c>
      <c r="W18" s="94">
        <f t="shared" ca="1" si="11"/>
        <v>405</v>
      </c>
      <c r="X18" s="94">
        <f t="shared" ca="1" si="11"/>
        <v>405</v>
      </c>
      <c r="Y18" s="94">
        <f t="shared" ca="1" si="11"/>
        <v>405</v>
      </c>
      <c r="Z18" s="94">
        <f t="shared" ca="1" si="11"/>
        <v>405</v>
      </c>
      <c r="AA18" s="94">
        <f t="shared" ca="1" si="11"/>
        <v>315</v>
      </c>
      <c r="AB18" s="94">
        <f t="shared" ca="1" si="11"/>
        <v>315</v>
      </c>
      <c r="AC18" s="94">
        <f t="shared" ca="1" si="11"/>
        <v>390</v>
      </c>
      <c r="AD18" s="94">
        <f t="shared" ca="1" si="11"/>
        <v>390</v>
      </c>
      <c r="AE18" s="94">
        <f t="shared" ca="1" si="11"/>
        <v>390</v>
      </c>
      <c r="AF18" s="94">
        <f t="shared" ca="1" si="11"/>
        <v>390</v>
      </c>
      <c r="AG18" s="94">
        <f t="shared" ca="1" si="11"/>
        <v>390</v>
      </c>
      <c r="AH18" s="94">
        <f t="shared" ca="1" si="11"/>
        <v>390</v>
      </c>
      <c r="AI18" s="94">
        <f t="shared" ca="1" si="11"/>
        <v>390</v>
      </c>
      <c r="AJ18" s="94">
        <f t="shared" ca="1" si="11"/>
        <v>390</v>
      </c>
      <c r="AK18" s="94">
        <f t="shared" ca="1" si="11"/>
        <v>390</v>
      </c>
      <c r="AL18" s="94">
        <f t="shared" ca="1" si="11"/>
        <v>390</v>
      </c>
      <c r="AM18" s="94">
        <f t="shared" ca="1" si="11"/>
        <v>390</v>
      </c>
      <c r="AN18" s="94">
        <f t="shared" ca="1" si="11"/>
        <v>390</v>
      </c>
      <c r="AO18" s="94">
        <f t="shared" ca="1" si="11"/>
        <v>390</v>
      </c>
      <c r="AP18" s="94">
        <f t="shared" ca="1" si="11"/>
        <v>390</v>
      </c>
      <c r="AQ18" s="94">
        <f t="shared" ca="1" si="11"/>
        <v>390</v>
      </c>
      <c r="AR18" s="94">
        <f t="shared" ca="1" si="11"/>
        <v>390</v>
      </c>
      <c r="AS18" s="94">
        <f t="shared" ca="1" si="11"/>
        <v>390</v>
      </c>
      <c r="AT18" s="94">
        <f t="shared" ca="1" si="11"/>
        <v>390</v>
      </c>
      <c r="AU18" s="94">
        <f t="shared" ca="1" si="11"/>
        <v>390</v>
      </c>
      <c r="AV18" s="94">
        <f t="shared" ca="1" si="11"/>
        <v>390</v>
      </c>
      <c r="AW18" s="94">
        <f t="shared" ca="1" si="11"/>
        <v>390</v>
      </c>
      <c r="AX18" s="94">
        <f t="shared" ca="1" si="11"/>
        <v>390</v>
      </c>
      <c r="AY18" s="94">
        <f t="shared" ca="1" si="11"/>
        <v>390</v>
      </c>
      <c r="AZ18" s="94">
        <f t="shared" ca="1" si="11"/>
        <v>390</v>
      </c>
      <c r="BA18" s="94">
        <f t="shared" ca="1" si="11"/>
        <v>390</v>
      </c>
      <c r="BB18" s="94">
        <f t="shared" ca="1" si="11"/>
        <v>390</v>
      </c>
      <c r="BC18" s="94">
        <f t="shared" ca="1" si="11"/>
        <v>390</v>
      </c>
      <c r="BD18" s="94">
        <f t="shared" ca="1" si="11"/>
        <v>390</v>
      </c>
      <c r="BE18" s="94">
        <f t="shared" ca="1" si="11"/>
        <v>390</v>
      </c>
      <c r="BF18" s="94">
        <f t="shared" ca="1" si="11"/>
        <v>390</v>
      </c>
      <c r="BG18" s="94">
        <f t="shared" ca="1" si="11"/>
        <v>390</v>
      </c>
      <c r="BH18" s="94">
        <f t="shared" ca="1" si="11"/>
        <v>390</v>
      </c>
    </row>
    <row r="19" spans="1:60" x14ac:dyDescent="0.3">
      <c r="C19" s="84"/>
      <c r="D19" s="113">
        <v>2036</v>
      </c>
      <c r="E19" s="84" t="s">
        <v>68</v>
      </c>
      <c r="F19" s="137">
        <v>25000</v>
      </c>
      <c r="G19" s="138" t="s">
        <v>49</v>
      </c>
      <c r="I19" s="139">
        <f t="shared" si="9"/>
        <v>25000</v>
      </c>
      <c r="O19" s="84" t="str">
        <f>"Addtl "&amp;O12</f>
        <v>Addtl Savings</v>
      </c>
      <c r="P19" s="94">
        <f>P$5*P12</f>
        <v>2579.9999999999995</v>
      </c>
      <c r="Q19" s="94">
        <f t="shared" ca="1" si="11"/>
        <v>2070</v>
      </c>
      <c r="R19" s="94">
        <f t="shared" ca="1" si="11"/>
        <v>2070</v>
      </c>
      <c r="S19" s="94">
        <f t="shared" ca="1" si="11"/>
        <v>2430</v>
      </c>
      <c r="T19" s="94">
        <f t="shared" ca="1" si="11"/>
        <v>2430</v>
      </c>
      <c r="U19" s="94">
        <f t="shared" ca="1" si="11"/>
        <v>2430</v>
      </c>
      <c r="V19" s="94">
        <f t="shared" ca="1" si="11"/>
        <v>4830</v>
      </c>
      <c r="W19" s="94">
        <f t="shared" ca="1" si="11"/>
        <v>2430</v>
      </c>
      <c r="X19" s="94">
        <f t="shared" ca="1" si="11"/>
        <v>2430</v>
      </c>
      <c r="Y19" s="94">
        <f t="shared" ca="1" si="11"/>
        <v>2430</v>
      </c>
      <c r="Z19" s="94">
        <f t="shared" ca="1" si="11"/>
        <v>2430</v>
      </c>
      <c r="AA19" s="94">
        <f t="shared" ca="1" si="11"/>
        <v>1890</v>
      </c>
      <c r="AB19" s="94">
        <f t="shared" ca="1" si="11"/>
        <v>1890</v>
      </c>
      <c r="AC19" s="94">
        <f t="shared" ca="1" si="11"/>
        <v>2340</v>
      </c>
      <c r="AD19" s="94">
        <f t="shared" ca="1" si="11"/>
        <v>2340</v>
      </c>
      <c r="AE19" s="94">
        <f t="shared" ca="1" si="11"/>
        <v>2340</v>
      </c>
      <c r="AF19" s="94">
        <f t="shared" ca="1" si="11"/>
        <v>2340</v>
      </c>
      <c r="AG19" s="94">
        <f t="shared" ca="1" si="11"/>
        <v>2340</v>
      </c>
      <c r="AH19" s="94">
        <f t="shared" ca="1" si="11"/>
        <v>2340</v>
      </c>
      <c r="AI19" s="94">
        <f t="shared" ca="1" si="11"/>
        <v>2340</v>
      </c>
      <c r="AJ19" s="94">
        <f t="shared" ca="1" si="11"/>
        <v>2340</v>
      </c>
      <c r="AK19" s="94">
        <f t="shared" ca="1" si="11"/>
        <v>2340</v>
      </c>
      <c r="AL19" s="94">
        <f t="shared" ca="1" si="11"/>
        <v>2340</v>
      </c>
      <c r="AM19" s="94">
        <f t="shared" ca="1" si="11"/>
        <v>2340</v>
      </c>
      <c r="AN19" s="94">
        <f t="shared" ca="1" si="11"/>
        <v>2340</v>
      </c>
      <c r="AO19" s="94">
        <f t="shared" ca="1" si="11"/>
        <v>2340</v>
      </c>
      <c r="AP19" s="94">
        <f t="shared" ca="1" si="11"/>
        <v>2340</v>
      </c>
      <c r="AQ19" s="94">
        <f t="shared" ca="1" si="11"/>
        <v>2340</v>
      </c>
      <c r="AR19" s="94">
        <f t="shared" ca="1" si="11"/>
        <v>2340</v>
      </c>
      <c r="AS19" s="94">
        <f t="shared" ca="1" si="11"/>
        <v>2340</v>
      </c>
      <c r="AT19" s="94">
        <f t="shared" ca="1" si="11"/>
        <v>2340</v>
      </c>
      <c r="AU19" s="94">
        <f t="shared" ca="1" si="11"/>
        <v>2340</v>
      </c>
      <c r="AV19" s="94">
        <f t="shared" ca="1" si="11"/>
        <v>2340</v>
      </c>
      <c r="AW19" s="94">
        <f t="shared" ca="1" si="11"/>
        <v>2340</v>
      </c>
      <c r="AX19" s="94">
        <f t="shared" ca="1" si="11"/>
        <v>2340</v>
      </c>
      <c r="AY19" s="94">
        <f t="shared" ca="1" si="11"/>
        <v>2340</v>
      </c>
      <c r="AZ19" s="94">
        <f t="shared" ca="1" si="11"/>
        <v>2340</v>
      </c>
      <c r="BA19" s="94">
        <f t="shared" ca="1" si="11"/>
        <v>2340</v>
      </c>
      <c r="BB19" s="94">
        <f t="shared" ca="1" si="11"/>
        <v>2340</v>
      </c>
      <c r="BC19" s="94">
        <f t="shared" ca="1" si="11"/>
        <v>2340</v>
      </c>
      <c r="BD19" s="94">
        <f t="shared" ca="1" si="11"/>
        <v>2340</v>
      </c>
      <c r="BE19" s="94">
        <f t="shared" ca="1" si="11"/>
        <v>2340</v>
      </c>
      <c r="BF19" s="94">
        <f t="shared" ca="1" si="11"/>
        <v>2340</v>
      </c>
      <c r="BG19" s="94">
        <f t="shared" ca="1" si="11"/>
        <v>2340</v>
      </c>
      <c r="BH19" s="94">
        <f t="shared" ca="1" si="11"/>
        <v>2340</v>
      </c>
    </row>
    <row r="20" spans="1:60" x14ac:dyDescent="0.3">
      <c r="C20" s="84"/>
      <c r="D20" s="113">
        <v>2022</v>
      </c>
      <c r="E20" s="84" t="s">
        <v>71</v>
      </c>
      <c r="F20" s="137">
        <v>10000</v>
      </c>
      <c r="G20" s="138" t="s">
        <v>49</v>
      </c>
      <c r="I20" s="139">
        <f>IF(G20="Yes",F20,0)</f>
        <v>10000</v>
      </c>
    </row>
    <row r="21" spans="1:60" x14ac:dyDescent="0.3">
      <c r="C21" s="84"/>
      <c r="D21" s="113"/>
      <c r="E21" s="84"/>
      <c r="F21" s="137"/>
      <c r="G21" s="138"/>
      <c r="I21" s="139">
        <f t="shared" si="9"/>
        <v>0</v>
      </c>
      <c r="O21" s="92" t="s">
        <v>72</v>
      </c>
    </row>
    <row r="22" spans="1:60" x14ac:dyDescent="0.3">
      <c r="C22" s="84"/>
      <c r="D22" s="113"/>
      <c r="E22" s="84"/>
      <c r="F22" s="137"/>
      <c r="G22" s="138"/>
      <c r="I22" s="139">
        <f t="shared" si="9"/>
        <v>0</v>
      </c>
      <c r="O22" s="83" t="str">
        <f>O8</f>
        <v>Equity</v>
      </c>
      <c r="P22" s="130">
        <f ca="1">IF($M$6="No",_xlfn.NORM.INV(RAND(),$F4,$D4),_xlfn.NORM.INV(RAND(),$F4,$D4)+($M$7*0.53))</f>
        <v>3.934549223397639E-2</v>
      </c>
      <c r="Q22" s="130">
        <f t="shared" ref="Q22:BH22" ca="1" si="12">IF($M$6="No",_xlfn.NORM.INV(RAND(),$F4,$D4),_xlfn.NORM.INV(RAND(),$F4,$D4)+($M$7*0.53))</f>
        <v>-0.19874532480239751</v>
      </c>
      <c r="R22" s="130">
        <f t="shared" ca="1" si="12"/>
        <v>0.12915912587526271</v>
      </c>
      <c r="S22" s="130">
        <f t="shared" ca="1" si="12"/>
        <v>1.8498278469979312E-2</v>
      </c>
      <c r="T22" s="130">
        <f t="shared" ca="1" si="12"/>
        <v>1.3672728960465202E-2</v>
      </c>
      <c r="U22" s="130">
        <f t="shared" ca="1" si="12"/>
        <v>-0.13853646154116508</v>
      </c>
      <c r="V22" s="130">
        <f t="shared" ca="1" si="12"/>
        <v>0.17076495010162965</v>
      </c>
      <c r="W22" s="130">
        <f t="shared" ca="1" si="12"/>
        <v>0.19803178055289442</v>
      </c>
      <c r="X22" s="130">
        <f t="shared" ca="1" si="12"/>
        <v>-0.18309622422082408</v>
      </c>
      <c r="Y22" s="130">
        <f t="shared" ca="1" si="12"/>
        <v>0.3082326633206296</v>
      </c>
      <c r="Z22" s="130">
        <f t="shared" ca="1" si="12"/>
        <v>-0.13567829355219316</v>
      </c>
      <c r="AA22" s="130">
        <f t="shared" ca="1" si="12"/>
        <v>-0.10366052994459686</v>
      </c>
      <c r="AB22" s="130">
        <f t="shared" ca="1" si="12"/>
        <v>6.3805142552275693E-2</v>
      </c>
      <c r="AC22" s="130">
        <f t="shared" ca="1" si="12"/>
        <v>-0.32691957224714763</v>
      </c>
      <c r="AD22" s="130">
        <f t="shared" ca="1" si="12"/>
        <v>-1.7710658106980859E-2</v>
      </c>
      <c r="AE22" s="130">
        <f t="shared" ca="1" si="12"/>
        <v>0.32488843772527864</v>
      </c>
      <c r="AF22" s="130">
        <f t="shared" ca="1" si="12"/>
        <v>-7.1882450472472628E-4</v>
      </c>
      <c r="AG22" s="130">
        <f t="shared" ca="1" si="12"/>
        <v>-9.5444201071500992E-2</v>
      </c>
      <c r="AH22" s="130">
        <f t="shared" ca="1" si="12"/>
        <v>0.12031035390147506</v>
      </c>
      <c r="AI22" s="130">
        <f t="shared" ca="1" si="12"/>
        <v>-6.7951413921998452E-2</v>
      </c>
      <c r="AJ22" s="130">
        <f t="shared" ca="1" si="12"/>
        <v>-7.3866937410282038E-2</v>
      </c>
      <c r="AK22" s="130">
        <f t="shared" ca="1" si="12"/>
        <v>0.11764026455842988</v>
      </c>
      <c r="AL22" s="130">
        <f t="shared" ca="1" si="12"/>
        <v>0.19656030821681938</v>
      </c>
      <c r="AM22" s="130">
        <f t="shared" ca="1" si="12"/>
        <v>0.16220175205084855</v>
      </c>
      <c r="AN22" s="130">
        <f t="shared" ca="1" si="12"/>
        <v>7.6317589282962367E-2</v>
      </c>
      <c r="AO22" s="130">
        <f t="shared" ca="1" si="12"/>
        <v>0.39271270490682242</v>
      </c>
      <c r="AP22" s="130">
        <f t="shared" ca="1" si="12"/>
        <v>0.17507787932441718</v>
      </c>
      <c r="AQ22" s="130">
        <f t="shared" ca="1" si="12"/>
        <v>0.28582811026655397</v>
      </c>
      <c r="AR22" s="130">
        <f t="shared" ca="1" si="12"/>
        <v>0.17598463615177376</v>
      </c>
      <c r="AS22" s="130">
        <f t="shared" ca="1" si="12"/>
        <v>-1.6916142325263242E-2</v>
      </c>
      <c r="AT22" s="130">
        <f t="shared" ca="1" si="12"/>
        <v>-0.23257688595380457</v>
      </c>
      <c r="AU22" s="130">
        <f t="shared" ca="1" si="12"/>
        <v>0.27574192566616496</v>
      </c>
      <c r="AV22" s="130">
        <f t="shared" ca="1" si="12"/>
        <v>0.12117616582928534</v>
      </c>
      <c r="AW22" s="130">
        <f ca="1">IF($M$6="No",_xlfn.NORM.INV(RAND(),$F4,$D4),_xlfn.NORM.INV(RAND(),$F4,$D4)+($M$7*0.53))</f>
        <v>0.17841038361999059</v>
      </c>
      <c r="AX22" s="130">
        <f t="shared" ca="1" si="12"/>
        <v>0.18286386552994591</v>
      </c>
      <c r="AY22" s="130">
        <f t="shared" ca="1" si="12"/>
        <v>-0.15112369957607211</v>
      </c>
      <c r="AZ22" s="130">
        <f t="shared" ca="1" si="12"/>
        <v>-3.5538641191176834E-2</v>
      </c>
      <c r="BA22" s="130">
        <f t="shared" ca="1" si="12"/>
        <v>0.12753164040756254</v>
      </c>
      <c r="BB22" s="130">
        <f t="shared" ca="1" si="12"/>
        <v>0.11809616310721915</v>
      </c>
      <c r="BC22" s="130">
        <f t="shared" ca="1" si="12"/>
        <v>0.20749242105172375</v>
      </c>
      <c r="BD22" s="130">
        <f t="shared" ca="1" si="12"/>
        <v>0.186227366860753</v>
      </c>
      <c r="BE22" s="130">
        <f t="shared" ca="1" si="12"/>
        <v>-2.7364429711369959E-2</v>
      </c>
      <c r="BF22" s="130">
        <f t="shared" ca="1" si="12"/>
        <v>0.38416454959631874</v>
      </c>
      <c r="BG22" s="130">
        <f t="shared" ca="1" si="12"/>
        <v>0.12976338723925809</v>
      </c>
      <c r="BH22" s="130">
        <f t="shared" ca="1" si="12"/>
        <v>-0.15052317220560132</v>
      </c>
    </row>
    <row r="23" spans="1:60" x14ac:dyDescent="0.3">
      <c r="C23" s="84"/>
      <c r="D23" s="113"/>
      <c r="E23" s="84"/>
      <c r="F23" s="137"/>
      <c r="G23" s="138"/>
      <c r="I23" s="139">
        <f t="shared" si="9"/>
        <v>0</v>
      </c>
      <c r="O23" s="83" t="str">
        <f>O9</f>
        <v>Fixed Income</v>
      </c>
      <c r="P23" s="130">
        <f ca="1">_xlfn.NORM.INV(RAND(),$F5,$D5)</f>
        <v>0.13701962716564586</v>
      </c>
      <c r="Q23" s="130">
        <f t="shared" ref="Q23:BH25" ca="1" si="13">_xlfn.NORM.INV(RAND(),$F5,$D5)</f>
        <v>-2.7534532884722934E-2</v>
      </c>
      <c r="R23" s="130">
        <f t="shared" ca="1" si="13"/>
        <v>-8.9673578878327678E-2</v>
      </c>
      <c r="S23" s="130">
        <f t="shared" ca="1" si="13"/>
        <v>3.3813062816082616E-3</v>
      </c>
      <c r="T23" s="130">
        <f t="shared" ca="1" si="13"/>
        <v>4.2190215143220279E-2</v>
      </c>
      <c r="U23" s="130">
        <f t="shared" ca="1" si="13"/>
        <v>-5.0077398237353049E-2</v>
      </c>
      <c r="V23" s="130">
        <f t="shared" ca="1" si="13"/>
        <v>0.11828736336432878</v>
      </c>
      <c r="W23" s="130">
        <f t="shared" ca="1" si="13"/>
        <v>-8.6518015783441496E-2</v>
      </c>
      <c r="X23" s="130">
        <f t="shared" ca="1" si="13"/>
        <v>-4.6180676399851558E-2</v>
      </c>
      <c r="Y23" s="130">
        <f t="shared" ca="1" si="13"/>
        <v>-4.2144206479023144E-2</v>
      </c>
      <c r="Z23" s="130">
        <f t="shared" ca="1" si="13"/>
        <v>-4.3472916359944103E-2</v>
      </c>
      <c r="AA23" s="130">
        <f t="shared" ca="1" si="13"/>
        <v>0.17607663821739658</v>
      </c>
      <c r="AB23" s="130">
        <f t="shared" ca="1" si="13"/>
        <v>1.2404099105177382E-2</v>
      </c>
      <c r="AC23" s="130">
        <f t="shared" ca="1" si="13"/>
        <v>8.7410874612112749E-2</v>
      </c>
      <c r="AD23" s="130">
        <f t="shared" ca="1" si="13"/>
        <v>0.15002426536997859</v>
      </c>
      <c r="AE23" s="130">
        <f t="shared" ca="1" si="13"/>
        <v>1.4574594469236393E-2</v>
      </c>
      <c r="AF23" s="130">
        <f t="shared" ca="1" si="13"/>
        <v>2.3069109672193173E-2</v>
      </c>
      <c r="AG23" s="130">
        <f t="shared" ca="1" si="13"/>
        <v>8.2969991698915876E-2</v>
      </c>
      <c r="AH23" s="130">
        <f t="shared" ca="1" si="13"/>
        <v>-0.1804489163886841</v>
      </c>
      <c r="AI23" s="130">
        <f t="shared" ca="1" si="13"/>
        <v>-0.12003410815122192</v>
      </c>
      <c r="AJ23" s="130">
        <f t="shared" ca="1" si="13"/>
        <v>-3.7334628038272061E-3</v>
      </c>
      <c r="AK23" s="130">
        <f t="shared" ca="1" si="13"/>
        <v>-8.2725362615980375E-2</v>
      </c>
      <c r="AL23" s="130">
        <f t="shared" ca="1" si="13"/>
        <v>0.12560932493028637</v>
      </c>
      <c r="AM23" s="130">
        <f t="shared" ca="1" si="13"/>
        <v>9.3780293296497758E-2</v>
      </c>
      <c r="AN23" s="130">
        <f t="shared" ca="1" si="13"/>
        <v>5.711037015085596E-2</v>
      </c>
      <c r="AO23" s="130">
        <f t="shared" ca="1" si="13"/>
        <v>0.15064961242452168</v>
      </c>
      <c r="AP23" s="130">
        <f t="shared" ca="1" si="13"/>
        <v>-5.3834991592214956E-2</v>
      </c>
      <c r="AQ23" s="130">
        <f t="shared" ca="1" si="13"/>
        <v>-4.9162668793564429E-2</v>
      </c>
      <c r="AR23" s="130">
        <f t="shared" ca="1" si="13"/>
        <v>5.6512794380053702E-2</v>
      </c>
      <c r="AS23" s="130">
        <f t="shared" ca="1" si="13"/>
        <v>0.16758609348557577</v>
      </c>
      <c r="AT23" s="130">
        <f t="shared" ca="1" si="13"/>
        <v>5.2344214550123017E-2</v>
      </c>
      <c r="AU23" s="130">
        <f t="shared" ca="1" si="13"/>
        <v>7.3810452383621994E-2</v>
      </c>
      <c r="AV23" s="130">
        <f t="shared" ca="1" si="13"/>
        <v>4.7386494963088097E-2</v>
      </c>
      <c r="AW23" s="130">
        <f t="shared" ca="1" si="13"/>
        <v>9.8052486760403304E-2</v>
      </c>
      <c r="AX23" s="130">
        <f t="shared" ca="1" si="13"/>
        <v>8.4251490792993766E-2</v>
      </c>
      <c r="AY23" s="130">
        <f t="shared" ca="1" si="13"/>
        <v>-0.12477314852712193</v>
      </c>
      <c r="AZ23" s="130">
        <f t="shared" ca="1" si="13"/>
        <v>-0.11063511360558564</v>
      </c>
      <c r="BA23" s="130">
        <f t="shared" ca="1" si="13"/>
        <v>-0.13313550173629238</v>
      </c>
      <c r="BB23" s="130">
        <f t="shared" ca="1" si="13"/>
        <v>-4.3384754953406421E-2</v>
      </c>
      <c r="BC23" s="130">
        <f t="shared" ca="1" si="13"/>
        <v>-4.8452008502116437E-2</v>
      </c>
      <c r="BD23" s="130">
        <f t="shared" ca="1" si="13"/>
        <v>-7.0797464019068598E-2</v>
      </c>
      <c r="BE23" s="130">
        <f t="shared" ca="1" si="13"/>
        <v>0.1234816874780295</v>
      </c>
      <c r="BF23" s="130">
        <f t="shared" ca="1" si="13"/>
        <v>-6.0531500864965004E-2</v>
      </c>
      <c r="BG23" s="130">
        <f t="shared" ca="1" si="13"/>
        <v>0.11910099926244698</v>
      </c>
      <c r="BH23" s="130">
        <f t="shared" ca="1" si="13"/>
        <v>0.1627111206834044</v>
      </c>
    </row>
    <row r="24" spans="1:60" ht="16.2" thickBot="1" x14ac:dyDescent="0.35">
      <c r="C24" s="84"/>
      <c r="D24" s="140"/>
      <c r="E24" s="125"/>
      <c r="F24" s="141"/>
      <c r="G24" s="142"/>
      <c r="I24" s="139">
        <f t="shared" si="9"/>
        <v>0</v>
      </c>
      <c r="O24" s="83" t="str">
        <f>O10</f>
        <v>Alts</v>
      </c>
      <c r="P24" s="130">
        <f t="shared" ref="P24:AE25" ca="1" si="14">_xlfn.NORM.INV(RAND(),$F6,$D6)</f>
        <v>-0.17227208908862915</v>
      </c>
      <c r="Q24" s="130">
        <f t="shared" ca="1" si="14"/>
        <v>1.2353238655923271</v>
      </c>
      <c r="R24" s="130">
        <f t="shared" ca="1" si="14"/>
        <v>3.7344752091501787E-2</v>
      </c>
      <c r="S24" s="130">
        <f t="shared" ca="1" si="14"/>
        <v>-0.1557464452789282</v>
      </c>
      <c r="T24" s="130">
        <f t="shared" ca="1" si="14"/>
        <v>0.85575911990652598</v>
      </c>
      <c r="U24" s="130">
        <f t="shared" ca="1" si="14"/>
        <v>-0.16910632393712891</v>
      </c>
      <c r="V24" s="130">
        <f t="shared" ca="1" si="14"/>
        <v>-0.24502715959487639</v>
      </c>
      <c r="W24" s="130">
        <f t="shared" ca="1" si="14"/>
        <v>0.31955163485094773</v>
      </c>
      <c r="X24" s="130">
        <f t="shared" ca="1" si="14"/>
        <v>-0.77996726915548986</v>
      </c>
      <c r="Y24" s="130">
        <f t="shared" ca="1" si="14"/>
        <v>0.67748636283441255</v>
      </c>
      <c r="Z24" s="130">
        <f t="shared" ca="1" si="14"/>
        <v>0.5140173364266295</v>
      </c>
      <c r="AA24" s="130">
        <f t="shared" ca="1" si="14"/>
        <v>0.92790268161233813</v>
      </c>
      <c r="AB24" s="130">
        <f t="shared" ca="1" si="14"/>
        <v>0.98173390003757444</v>
      </c>
      <c r="AC24" s="130">
        <f t="shared" ca="1" si="14"/>
        <v>0.32846514632558999</v>
      </c>
      <c r="AD24" s="130">
        <f t="shared" ca="1" si="14"/>
        <v>6.0264176984060835E-2</v>
      </c>
      <c r="AE24" s="130">
        <f t="shared" ca="1" si="14"/>
        <v>-0.27977441110499324</v>
      </c>
      <c r="AF24" s="130">
        <f t="shared" ca="1" si="13"/>
        <v>0.58608474880762673</v>
      </c>
      <c r="AG24" s="130">
        <f t="shared" ca="1" si="13"/>
        <v>0.30014072343676756</v>
      </c>
      <c r="AH24" s="130">
        <f t="shared" ca="1" si="13"/>
        <v>0.40745566320488491</v>
      </c>
      <c r="AI24" s="130">
        <f t="shared" ca="1" si="13"/>
        <v>1.2516648075526478</v>
      </c>
      <c r="AJ24" s="130">
        <f t="shared" ca="1" si="13"/>
        <v>-0.68658698658291972</v>
      </c>
      <c r="AK24" s="130">
        <f t="shared" ca="1" si="13"/>
        <v>0.55925525952373523</v>
      </c>
      <c r="AL24" s="130">
        <f t="shared" ca="1" si="13"/>
        <v>-0.24867077122093781</v>
      </c>
      <c r="AM24" s="130">
        <f t="shared" ca="1" si="13"/>
        <v>0.2212936450524679</v>
      </c>
      <c r="AN24" s="130">
        <f t="shared" ca="1" si="13"/>
        <v>-0.74877828622077602</v>
      </c>
      <c r="AO24" s="130">
        <f t="shared" ca="1" si="13"/>
        <v>-0.16280556841366259</v>
      </c>
      <c r="AP24" s="130">
        <f t="shared" ca="1" si="13"/>
        <v>-0.22123600327226492</v>
      </c>
      <c r="AQ24" s="130">
        <f t="shared" ca="1" si="13"/>
        <v>-0.60502812235896575</v>
      </c>
      <c r="AR24" s="130">
        <f t="shared" ca="1" si="13"/>
        <v>1.290549329464745</v>
      </c>
      <c r="AS24" s="130">
        <f t="shared" ca="1" si="13"/>
        <v>4.2933981213585243E-3</v>
      </c>
      <c r="AT24" s="130">
        <f t="shared" ca="1" si="13"/>
        <v>0.87320607455828547</v>
      </c>
      <c r="AU24" s="130">
        <f t="shared" ca="1" si="13"/>
        <v>0.50383469082383259</v>
      </c>
      <c r="AV24" s="130">
        <f t="shared" ca="1" si="13"/>
        <v>1.5554038568290025</v>
      </c>
      <c r="AW24" s="130">
        <f t="shared" ca="1" si="13"/>
        <v>1.7235303800973586E-2</v>
      </c>
      <c r="AX24" s="130">
        <f t="shared" ca="1" si="13"/>
        <v>-8.9546662809510985E-2</v>
      </c>
      <c r="AY24" s="130">
        <f t="shared" ca="1" si="13"/>
        <v>-0.52820818039930417</v>
      </c>
      <c r="AZ24" s="130">
        <f t="shared" ca="1" si="13"/>
        <v>-5.6311791134773803E-2</v>
      </c>
      <c r="BA24" s="130">
        <f t="shared" ca="1" si="13"/>
        <v>0.31541669455240878</v>
      </c>
      <c r="BB24" s="130">
        <f t="shared" ca="1" si="13"/>
        <v>0.4216530593858423</v>
      </c>
      <c r="BC24" s="130">
        <f t="shared" ca="1" si="13"/>
        <v>7.1565001210458418E-2</v>
      </c>
      <c r="BD24" s="130">
        <f t="shared" ca="1" si="13"/>
        <v>-0.23753052822223933</v>
      </c>
      <c r="BE24" s="130">
        <f t="shared" ca="1" si="13"/>
        <v>-1.9843735481408498E-2</v>
      </c>
      <c r="BF24" s="130">
        <f t="shared" ca="1" si="13"/>
        <v>-0.35091128279327966</v>
      </c>
      <c r="BG24" s="130">
        <f t="shared" ca="1" si="13"/>
        <v>-0.39542659032194249</v>
      </c>
      <c r="BH24" s="130">
        <f t="shared" ca="1" si="13"/>
        <v>0.82232027447374034</v>
      </c>
    </row>
    <row r="25" spans="1:60" ht="16.5" customHeight="1" thickBot="1" x14ac:dyDescent="0.35">
      <c r="C25" s="84"/>
      <c r="H25" s="84"/>
      <c r="I25" s="84"/>
      <c r="O25" s="83" t="str">
        <f>O11</f>
        <v>Real Estate</v>
      </c>
      <c r="P25" s="130">
        <f t="shared" ca="1" si="14"/>
        <v>0.23321556949066086</v>
      </c>
      <c r="Q25" s="130">
        <f t="shared" ca="1" si="13"/>
        <v>4.139201798512384E-2</v>
      </c>
      <c r="R25" s="130">
        <f t="shared" ca="1" si="13"/>
        <v>-3.4671853710092404E-2</v>
      </c>
      <c r="S25" s="130">
        <f t="shared" ca="1" si="13"/>
        <v>2.1832490595243677E-2</v>
      </c>
      <c r="T25" s="130">
        <f t="shared" ca="1" si="13"/>
        <v>0.14168041853788038</v>
      </c>
      <c r="U25" s="130">
        <f t="shared" ca="1" si="13"/>
        <v>1.371500180440869E-2</v>
      </c>
      <c r="V25" s="130">
        <f t="shared" ca="1" si="13"/>
        <v>6.9401185096653259E-2</v>
      </c>
      <c r="W25" s="130">
        <f t="shared" ca="1" si="13"/>
        <v>0.31283248478084558</v>
      </c>
      <c r="X25" s="130">
        <f t="shared" ca="1" si="13"/>
        <v>-8.0671435460416233E-2</v>
      </c>
      <c r="Y25" s="130">
        <f t="shared" ca="1" si="13"/>
        <v>0.24435221945891433</v>
      </c>
      <c r="Z25" s="130">
        <f t="shared" ca="1" si="13"/>
        <v>7.9478089673642505E-2</v>
      </c>
      <c r="AA25" s="130">
        <f t="shared" ca="1" si="13"/>
        <v>0.18533857323485847</v>
      </c>
      <c r="AB25" s="130">
        <f t="shared" ca="1" si="13"/>
        <v>0.23730517031258014</v>
      </c>
      <c r="AC25" s="130">
        <f t="shared" ca="1" si="13"/>
        <v>0.30847096316133271</v>
      </c>
      <c r="AD25" s="130">
        <f t="shared" ca="1" si="13"/>
        <v>-7.821936036752393E-2</v>
      </c>
      <c r="AE25" s="130">
        <f t="shared" ca="1" si="13"/>
        <v>0.20002696458372821</v>
      </c>
      <c r="AF25" s="130">
        <f t="shared" ca="1" si="13"/>
        <v>2.1624345863262555E-2</v>
      </c>
      <c r="AG25" s="130">
        <f t="shared" ca="1" si="13"/>
        <v>0.10993541674244095</v>
      </c>
      <c r="AH25" s="130">
        <f t="shared" ca="1" si="13"/>
        <v>7.3301690972474229E-2</v>
      </c>
      <c r="AI25" s="130">
        <f t="shared" ca="1" si="13"/>
        <v>-7.0555910429358076E-2</v>
      </c>
      <c r="AJ25" s="130">
        <f t="shared" ca="1" si="13"/>
        <v>-4.7960547198990233E-2</v>
      </c>
      <c r="AK25" s="130">
        <f t="shared" ca="1" si="13"/>
        <v>3.8013792293775626E-2</v>
      </c>
      <c r="AL25" s="130">
        <f t="shared" ca="1" si="13"/>
        <v>-5.8952858513669798E-2</v>
      </c>
      <c r="AM25" s="130">
        <f t="shared" ca="1" si="13"/>
        <v>0.32445386514514418</v>
      </c>
      <c r="AN25" s="130">
        <f t="shared" ca="1" si="13"/>
        <v>-4.0586633210984227E-2</v>
      </c>
      <c r="AO25" s="130">
        <f t="shared" ca="1" si="13"/>
        <v>1.8342517018026173E-2</v>
      </c>
      <c r="AP25" s="130">
        <f t="shared" ca="1" si="13"/>
        <v>1.0508220107638952E-2</v>
      </c>
      <c r="AQ25" s="130">
        <f t="shared" ca="1" si="13"/>
        <v>-4.5858474026526028E-2</v>
      </c>
      <c r="AR25" s="130">
        <f t="shared" ca="1" si="13"/>
        <v>-0.1836187581602674</v>
      </c>
      <c r="AS25" s="130">
        <f t="shared" ca="1" si="13"/>
        <v>4.934032863563171E-2</v>
      </c>
      <c r="AT25" s="130">
        <f t="shared" ca="1" si="13"/>
        <v>-4.5477645326354454E-3</v>
      </c>
      <c r="AU25" s="130">
        <f t="shared" ca="1" si="13"/>
        <v>2.2685968084366175E-2</v>
      </c>
      <c r="AV25" s="130">
        <f t="shared" ca="1" si="13"/>
        <v>9.8439684797901578E-2</v>
      </c>
      <c r="AW25" s="130">
        <f t="shared" ca="1" si="13"/>
        <v>0.24319455896611458</v>
      </c>
      <c r="AX25" s="130">
        <f t="shared" ca="1" si="13"/>
        <v>6.5908473693576552E-2</v>
      </c>
      <c r="AY25" s="130">
        <f t="shared" ca="1" si="13"/>
        <v>8.7047805756306745E-2</v>
      </c>
      <c r="AZ25" s="130">
        <f t="shared" ca="1" si="13"/>
        <v>-3.73736727181124E-2</v>
      </c>
      <c r="BA25" s="130">
        <f t="shared" ca="1" si="13"/>
        <v>0.14864476833230592</v>
      </c>
      <c r="BB25" s="130">
        <f t="shared" ca="1" si="13"/>
        <v>-5.6368822899558108E-2</v>
      </c>
      <c r="BC25" s="130">
        <f t="shared" ca="1" si="13"/>
        <v>0.20677795323324916</v>
      </c>
      <c r="BD25" s="130">
        <f t="shared" ca="1" si="13"/>
        <v>-4.6254808868487096E-2</v>
      </c>
      <c r="BE25" s="130">
        <f t="shared" ca="1" si="13"/>
        <v>-1.052778180295609E-2</v>
      </c>
      <c r="BF25" s="130">
        <f t="shared" ca="1" si="13"/>
        <v>0.21509290644878615</v>
      </c>
      <c r="BG25" s="130">
        <f t="shared" ca="1" si="13"/>
        <v>0.20931286799409593</v>
      </c>
      <c r="BH25" s="130">
        <f t="shared" ca="1" si="13"/>
        <v>3.1656482034394716E-2</v>
      </c>
    </row>
    <row r="26" spans="1:60" ht="18.600000000000001" thickBot="1" x14ac:dyDescent="0.35">
      <c r="C26" s="84"/>
      <c r="D26" s="132" t="s">
        <v>73</v>
      </c>
      <c r="E26" s="133"/>
      <c r="F26" s="133"/>
      <c r="G26" s="134"/>
      <c r="H26" s="84"/>
      <c r="I26" s="84"/>
    </row>
    <row r="27" spans="1:60" x14ac:dyDescent="0.3">
      <c r="A27" s="83" t="s">
        <v>74</v>
      </c>
      <c r="B27" s="83" t="s">
        <v>75</v>
      </c>
      <c r="C27" s="84"/>
      <c r="D27" s="136" t="s">
        <v>38</v>
      </c>
      <c r="E27" s="87" t="s">
        <v>76</v>
      </c>
      <c r="F27" s="87" t="s">
        <v>77</v>
      </c>
      <c r="G27" s="89" t="s">
        <v>78</v>
      </c>
      <c r="I27" s="84"/>
      <c r="O27" s="92" t="s">
        <v>79</v>
      </c>
    </row>
    <row r="28" spans="1:60" x14ac:dyDescent="0.3">
      <c r="A28" s="83" t="str">
        <f t="shared" ref="A28:B38" si="15">$D28&amp;F28</f>
        <v>2030Fixed Income</v>
      </c>
      <c r="B28" s="83" t="str">
        <f t="shared" si="15"/>
        <v>2030Equity</v>
      </c>
      <c r="C28" s="84"/>
      <c r="D28" s="143">
        <v>2030</v>
      </c>
      <c r="E28" s="144">
        <v>0.05</v>
      </c>
      <c r="F28" s="145" t="s">
        <v>50</v>
      </c>
      <c r="G28" s="138" t="s">
        <v>46</v>
      </c>
      <c r="I28" s="84"/>
      <c r="O28" s="83" t="str">
        <f>O22</f>
        <v>Equity</v>
      </c>
      <c r="P28" s="93">
        <f ca="1">SUM(G4)*(1+P22)</f>
        <v>0</v>
      </c>
      <c r="Q28" s="94">
        <f t="shared" ref="Q28:BH31" ca="1" si="16">SUM(Q15,P28)*(1+Q22)</f>
        <v>10761.531354377719</v>
      </c>
      <c r="R28" s="94">
        <f ca="1">SUM(R15,Q28)*(1+R22)</f>
        <v>27317.048182950148</v>
      </c>
      <c r="S28" s="94">
        <f t="shared" ca="1" si="16"/>
        <v>43880.672429454891</v>
      </c>
      <c r="T28" s="94">
        <f t="shared" ca="1" si="16"/>
        <v>60462.864102250307</v>
      </c>
      <c r="U28" s="94">
        <f t="shared" ca="1" si="16"/>
        <v>65668.946953522216</v>
      </c>
      <c r="V28" s="94">
        <f ca="1">SUM(V15,U28)*(1+V22)</f>
        <v>113573.09440676944</v>
      </c>
      <c r="W28" s="94">
        <f t="shared" ca="1" si="16"/>
        <v>153740.11711008844</v>
      </c>
      <c r="X28" s="94">
        <f ca="1">SUM(X15,W28)*(1+X22)</f>
        <v>137643.60299937625</v>
      </c>
      <c r="Y28" s="94">
        <f ca="1">SUM(Y15,X28)*(1+Y22)</f>
        <v>199371.71829045346</v>
      </c>
      <c r="Z28" s="94">
        <f t="shared" ca="1" si="16"/>
        <v>185073.63587542306</v>
      </c>
      <c r="AA28" s="94">
        <f t="shared" ca="1" si="16"/>
        <v>176174.70347345065</v>
      </c>
      <c r="AB28" s="94">
        <f t="shared" ca="1" si="16"/>
        <v>198785.45171602065</v>
      </c>
      <c r="AC28" s="94">
        <f t="shared" ca="1" si="16"/>
        <v>142705.26824838834</v>
      </c>
      <c r="AD28" s="94">
        <f t="shared" ca="1" si="16"/>
        <v>153176.20420684389</v>
      </c>
      <c r="AE28" s="94">
        <f t="shared" ca="1" si="16"/>
        <v>220473.23311818094</v>
      </c>
      <c r="AF28" s="94">
        <f t="shared" ca="1" si="16"/>
        <v>233537.93956655604</v>
      </c>
      <c r="AG28" s="94">
        <f t="shared" ca="1" si="16"/>
        <v>222335.87112126747</v>
      </c>
      <c r="AH28" s="94">
        <f t="shared" ca="1" si="16"/>
        <v>262817.60668587801</v>
      </c>
      <c r="AI28" s="94">
        <f t="shared" ca="1" si="16"/>
        <v>256383.55066154525</v>
      </c>
      <c r="AJ28" s="94">
        <f t="shared" ca="1" si="16"/>
        <v>248797.54421310901</v>
      </c>
      <c r="AK28" s="94">
        <f t="shared" ca="1" si="16"/>
        <v>291765.85220670467</v>
      </c>
      <c r="AL28" s="94">
        <f t="shared" ca="1" si="16"/>
        <v>362615.86903311545</v>
      </c>
      <c r="AM28" s="94">
        <f t="shared" ca="1" si="16"/>
        <v>434545.57201959193</v>
      </c>
      <c r="AN28" s="94">
        <f t="shared" ca="1" si="16"/>
        <v>479852.81097431597</v>
      </c>
      <c r="AO28" s="94">
        <f t="shared" ca="1" si="16"/>
        <v>684010.66596483393</v>
      </c>
      <c r="AP28" s="94">
        <f t="shared" ca="1" si="16"/>
        <v>817023.85398629296</v>
      </c>
      <c r="AQ28" s="94">
        <f t="shared" ca="1" si="16"/>
        <v>1063806.1686260866</v>
      </c>
      <c r="AR28" s="94">
        <f t="shared" ca="1" si="16"/>
        <v>1263141.4069818226</v>
      </c>
      <c r="AS28" s="94">
        <f t="shared" ca="1" si="16"/>
        <v>1251907.2606441386</v>
      </c>
      <c r="AT28" s="94">
        <f t="shared" ca="1" si="16"/>
        <v>968652.93569322082</v>
      </c>
      <c r="AU28" s="94">
        <f t="shared" ca="1" si="16"/>
        <v>1248901.1265306426</v>
      </c>
      <c r="AV28" s="94">
        <f t="shared" ca="1" si="16"/>
        <v>1410701.777346336</v>
      </c>
      <c r="AW28" s="94">
        <f t="shared" ca="1" si="16"/>
        <v>1673383.3732033088</v>
      </c>
      <c r="AX28" s="94">
        <f t="shared" ca="1" si="16"/>
        <v>1990424.0389386374</v>
      </c>
      <c r="AY28" s="94">
        <f t="shared" ca="1" si="16"/>
        <v>1697546.102298049</v>
      </c>
      <c r="AZ28" s="94">
        <f t="shared" ca="1" si="16"/>
        <v>1646218.6489863528</v>
      </c>
      <c r="BA28" s="94">
        <f t="shared" ca="1" si="16"/>
        <v>1866686.5283015354</v>
      </c>
      <c r="BB28" s="94">
        <f t="shared" ca="1" si="16"/>
        <v>2097569.9010793129</v>
      </c>
      <c r="BC28" s="94">
        <f t="shared" ca="1" si="16"/>
        <v>2544068.9226974337</v>
      </c>
      <c r="BD28" s="94">
        <f t="shared" ca="1" si="16"/>
        <v>3028914.883430351</v>
      </c>
      <c r="BE28" s="94">
        <f t="shared" ca="1" si="16"/>
        <v>2955107.6709878314</v>
      </c>
      <c r="BF28" s="94">
        <f t="shared" ca="1" si="16"/>
        <v>4103273.2709135162</v>
      </c>
      <c r="BG28" s="94">
        <f t="shared" ca="1" si="16"/>
        <v>4646271.6520796521</v>
      </c>
      <c r="BH28" s="94">
        <f t="shared" ca="1" si="16"/>
        <v>3954828.0164704197</v>
      </c>
    </row>
    <row r="29" spans="1:60" x14ac:dyDescent="0.3">
      <c r="A29" s="83" t="str">
        <f t="shared" si="15"/>
        <v>2035Fixed Income</v>
      </c>
      <c r="B29" s="83" t="str">
        <f t="shared" si="15"/>
        <v>2035Equity</v>
      </c>
      <c r="C29" s="84"/>
      <c r="D29" s="143">
        <v>2035</v>
      </c>
      <c r="E29" s="144">
        <v>0.05</v>
      </c>
      <c r="F29" s="145" t="s">
        <v>50</v>
      </c>
      <c r="G29" s="138" t="s">
        <v>46</v>
      </c>
      <c r="I29" s="84"/>
      <c r="O29" s="83" t="str">
        <f>O23</f>
        <v>Fixed Income</v>
      </c>
      <c r="P29" s="93">
        <f ca="1">SUM(G5)*(1+P23)</f>
        <v>0</v>
      </c>
      <c r="Q29" s="94">
        <f t="shared" ca="1" si="16"/>
        <v>1509.7526376964677</v>
      </c>
      <c r="R29" s="94">
        <f t="shared" ca="1" si="16"/>
        <v>2787.6494842446264</v>
      </c>
      <c r="S29" s="94">
        <f t="shared" ca="1" si="16"/>
        <v>4625.7378116548552</v>
      </c>
      <c r="T29" s="94">
        <f t="shared" ca="1" si="16"/>
        <v>6720.2903522232218</v>
      </c>
      <c r="U29" s="94">
        <f t="shared" ca="1" si="16"/>
        <v>8114.9896376967235</v>
      </c>
      <c r="V29" s="94">
        <f t="shared" ca="1" si="16"/>
        <v>13125.886339455999</v>
      </c>
      <c r="W29" s="94">
        <f t="shared" ca="1" si="16"/>
        <v>14579.982123221229</v>
      </c>
      <c r="X29" s="94">
        <f t="shared" ca="1" si="16"/>
        <v>16610.746469279551</v>
      </c>
      <c r="Y29" s="94">
        <f t="shared" ca="1" si="16"/>
        <v>18626.220914939498</v>
      </c>
      <c r="Z29" s="94">
        <f t="shared" ca="1" si="16"/>
        <v>20528.239053122052</v>
      </c>
      <c r="AA29" s="94">
        <f t="shared" ca="1" si="16"/>
        <v>26736.031361388214</v>
      </c>
      <c r="AB29" s="94">
        <f t="shared" ca="1" si="16"/>
        <v>30097.287010646251</v>
      </c>
      <c r="AC29" s="94">
        <f t="shared" ca="1" si="16"/>
        <v>36756.974482136495</v>
      </c>
      <c r="AD29" s="94">
        <f t="shared" ca="1" si="16"/>
        <v>46532.252479237839</v>
      </c>
      <c r="AE29" s="94">
        <f t="shared" ca="1" si="16"/>
        <v>50969.440061371373</v>
      </c>
      <c r="AF29" s="94">
        <f t="shared" ca="1" si="16"/>
        <v>55935.730715412901</v>
      </c>
      <c r="AG29" s="94">
        <f t="shared" ca="1" si="16"/>
        <v>65645.017389694432</v>
      </c>
      <c r="AH29" s="94">
        <f t="shared" ca="1" si="16"/>
        <v>57634.944206708707</v>
      </c>
      <c r="AI29" s="94">
        <f t="shared" ca="1" si="16"/>
        <v>54835.025454363269</v>
      </c>
      <c r="AJ29" s="94">
        <f t="shared" ca="1" si="16"/>
        <v>59292.828320560569</v>
      </c>
      <c r="AK29" s="94">
        <f t="shared" ca="1" si="16"/>
        <v>58680.652900172339</v>
      </c>
      <c r="AL29" s="94">
        <f t="shared" ca="1" si="16"/>
        <v>72416.81082991221</v>
      </c>
      <c r="AM29" s="94">
        <f t="shared" ca="1" si="16"/>
        <v>85393.408147730064</v>
      </c>
      <c r="AN29" s="94">
        <f t="shared" ca="1" si="16"/>
        <v>96248.21643869314</v>
      </c>
      <c r="AO29" s="94">
        <f t="shared" ca="1" si="16"/>
        <v>117254.89649999441</v>
      </c>
      <c r="AP29" s="94">
        <f t="shared" ca="1" si="16"/>
        <v>116293.0432553172</v>
      </c>
      <c r="AQ29" s="94">
        <f t="shared" ca="1" si="16"/>
        <v>116879.81839265904</v>
      </c>
      <c r="AR29" s="94">
        <f t="shared" ca="1" si="16"/>
        <v>130489.70336340115</v>
      </c>
      <c r="AS29" s="94">
        <f t="shared" ca="1" si="16"/>
        <v>160099.05878997452</v>
      </c>
      <c r="AT29" s="94">
        <f t="shared" ca="1" si="16"/>
        <v>175456.360415017</v>
      </c>
      <c r="AU29" s="94">
        <f t="shared" ca="1" si="16"/>
        <v>195526.23705013667</v>
      </c>
      <c r="AV29" s="94">
        <f t="shared" ca="1" si="16"/>
        <v>212756.91439145879</v>
      </c>
      <c r="AW29" s="94">
        <f t="shared" ca="1" si="16"/>
        <v>241968.94808482443</v>
      </c>
      <c r="AX29" s="94">
        <f t="shared" ca="1" si="16"/>
        <v>270600.92527406412</v>
      </c>
      <c r="AY29" s="94">
        <f t="shared" ca="1" si="16"/>
        <v>243493.29603871793</v>
      </c>
      <c r="AZ29" s="94">
        <f t="shared" ca="1" si="16"/>
        <v>223318.00753030539</v>
      </c>
      <c r="BA29" s="94">
        <f t="shared" ca="1" si="16"/>
        <v>200178.95706030456</v>
      </c>
      <c r="BB29" s="94">
        <f t="shared" ca="1" si="16"/>
        <v>198769.30099999413</v>
      </c>
      <c r="BC29" s="94">
        <f t="shared" ca="1" si="16"/>
        <v>196375.05161332409</v>
      </c>
      <c r="BD29" s="94">
        <f t="shared" ca="1" si="16"/>
        <v>189538.78124862202</v>
      </c>
      <c r="BE29" s="94">
        <f t="shared" ca="1" si="16"/>
        <v>221487.4280330014</v>
      </c>
      <c r="BF29" s="94">
        <f t="shared" ca="1" si="16"/>
        <v>215225.11952736485</v>
      </c>
      <c r="BG29" s="94">
        <f t="shared" ca="1" si="16"/>
        <v>249369.40942884449</v>
      </c>
      <c r="BH29" s="94">
        <f t="shared" ca="1" si="16"/>
        <v>298787.00357396778</v>
      </c>
    </row>
    <row r="30" spans="1:60" x14ac:dyDescent="0.3">
      <c r="A30" s="83" t="str">
        <f t="shared" si="15"/>
        <v>2040Fixed Income</v>
      </c>
      <c r="B30" s="83" t="str">
        <f t="shared" si="15"/>
        <v>2040Equity</v>
      </c>
      <c r="C30" s="84"/>
      <c r="D30" s="143">
        <v>2040</v>
      </c>
      <c r="E30" s="144">
        <v>0.05</v>
      </c>
      <c r="F30" s="145" t="s">
        <v>50</v>
      </c>
      <c r="G30" s="138" t="s">
        <v>46</v>
      </c>
      <c r="I30" s="84"/>
      <c r="O30" s="83" t="str">
        <f>O24</f>
        <v>Alts</v>
      </c>
      <c r="P30" s="93">
        <f ca="1">SUM(G6)*(1+P24)</f>
        <v>0</v>
      </c>
      <c r="Q30" s="94">
        <f t="shared" ca="1" si="16"/>
        <v>0</v>
      </c>
      <c r="R30" s="94">
        <f t="shared" ca="1" si="16"/>
        <v>0</v>
      </c>
      <c r="S30" s="94">
        <f t="shared" ca="1" si="16"/>
        <v>0</v>
      </c>
      <c r="T30" s="94">
        <f t="shared" ca="1" si="16"/>
        <v>0</v>
      </c>
      <c r="U30" s="94">
        <f t="shared" ca="1" si="16"/>
        <v>0</v>
      </c>
      <c r="V30" s="94">
        <f t="shared" ca="1" si="16"/>
        <v>0</v>
      </c>
      <c r="W30" s="94">
        <f t="shared" ca="1" si="16"/>
        <v>0</v>
      </c>
      <c r="X30" s="94">
        <f t="shared" ca="1" si="16"/>
        <v>0</v>
      </c>
      <c r="Y30" s="94">
        <f t="shared" ca="1" si="16"/>
        <v>0</v>
      </c>
      <c r="Z30" s="94">
        <f t="shared" ca="1" si="16"/>
        <v>0</v>
      </c>
      <c r="AA30" s="94">
        <f t="shared" ca="1" si="16"/>
        <v>0</v>
      </c>
      <c r="AB30" s="94">
        <f t="shared" ca="1" si="16"/>
        <v>0</v>
      </c>
      <c r="AC30" s="94">
        <f t="shared" ca="1" si="16"/>
        <v>0</v>
      </c>
      <c r="AD30" s="94">
        <f t="shared" ca="1" si="16"/>
        <v>0</v>
      </c>
      <c r="AE30" s="94">
        <f t="shared" ca="1" si="16"/>
        <v>0</v>
      </c>
      <c r="AF30" s="94">
        <f t="shared" ca="1" si="16"/>
        <v>0</v>
      </c>
      <c r="AG30" s="94">
        <f t="shared" ca="1" si="16"/>
        <v>0</v>
      </c>
      <c r="AH30" s="94">
        <f t="shared" ca="1" si="16"/>
        <v>0</v>
      </c>
      <c r="AI30" s="94">
        <f t="shared" ca="1" si="16"/>
        <v>0</v>
      </c>
      <c r="AJ30" s="94">
        <f t="shared" ca="1" si="16"/>
        <v>0</v>
      </c>
      <c r="AK30" s="94">
        <f t="shared" ca="1" si="16"/>
        <v>0</v>
      </c>
      <c r="AL30" s="94">
        <f t="shared" ca="1" si="16"/>
        <v>0</v>
      </c>
      <c r="AM30" s="94">
        <f t="shared" ca="1" si="16"/>
        <v>0</v>
      </c>
      <c r="AN30" s="94">
        <f t="shared" ca="1" si="16"/>
        <v>0</v>
      </c>
      <c r="AO30" s="94">
        <f t="shared" ca="1" si="16"/>
        <v>0</v>
      </c>
      <c r="AP30" s="94">
        <f t="shared" ca="1" si="16"/>
        <v>0</v>
      </c>
      <c r="AQ30" s="94">
        <f t="shared" ca="1" si="16"/>
        <v>0</v>
      </c>
      <c r="AR30" s="94">
        <f t="shared" ca="1" si="16"/>
        <v>0</v>
      </c>
      <c r="AS30" s="94">
        <f t="shared" ca="1" si="16"/>
        <v>0</v>
      </c>
      <c r="AT30" s="94">
        <f t="shared" ca="1" si="16"/>
        <v>0</v>
      </c>
      <c r="AU30" s="94">
        <f t="shared" ca="1" si="16"/>
        <v>0</v>
      </c>
      <c r="AV30" s="94">
        <f t="shared" ca="1" si="16"/>
        <v>0</v>
      </c>
      <c r="AW30" s="94">
        <f t="shared" ca="1" si="16"/>
        <v>0</v>
      </c>
      <c r="AX30" s="94">
        <f t="shared" ca="1" si="16"/>
        <v>0</v>
      </c>
      <c r="AY30" s="94">
        <f t="shared" ca="1" si="16"/>
        <v>0</v>
      </c>
      <c r="AZ30" s="94">
        <f t="shared" ca="1" si="16"/>
        <v>0</v>
      </c>
      <c r="BA30" s="94">
        <f t="shared" ca="1" si="16"/>
        <v>0</v>
      </c>
      <c r="BB30" s="94">
        <f t="shared" ca="1" si="16"/>
        <v>0</v>
      </c>
      <c r="BC30" s="94">
        <f t="shared" ca="1" si="16"/>
        <v>0</v>
      </c>
      <c r="BD30" s="94">
        <f t="shared" ca="1" si="16"/>
        <v>0</v>
      </c>
      <c r="BE30" s="94">
        <f t="shared" ca="1" si="16"/>
        <v>0</v>
      </c>
      <c r="BF30" s="94">
        <f t="shared" ca="1" si="16"/>
        <v>0</v>
      </c>
      <c r="BG30" s="94">
        <f t="shared" ca="1" si="16"/>
        <v>0</v>
      </c>
      <c r="BH30" s="94">
        <f t="shared" ca="1" si="16"/>
        <v>0</v>
      </c>
    </row>
    <row r="31" spans="1:60" x14ac:dyDescent="0.3">
      <c r="A31" s="83" t="str">
        <f t="shared" si="15"/>
        <v>2045Fixed Income</v>
      </c>
      <c r="B31" s="83" t="str">
        <f t="shared" si="15"/>
        <v>2045Equity</v>
      </c>
      <c r="C31" s="84"/>
      <c r="D31" s="143">
        <v>2045</v>
      </c>
      <c r="E31" s="144">
        <v>0.05</v>
      </c>
      <c r="F31" s="145" t="s">
        <v>50</v>
      </c>
      <c r="G31" s="138" t="s">
        <v>46</v>
      </c>
      <c r="I31" s="84"/>
      <c r="O31" s="83" t="str">
        <f>O25</f>
        <v>Real Estate</v>
      </c>
      <c r="P31" s="93">
        <f ca="1">SUM(G7)*(1+P25)</f>
        <v>0</v>
      </c>
      <c r="Q31" s="94">
        <f ca="1">SUM(Q18,P31)*(1+Q25)</f>
        <v>359.28024620486775</v>
      </c>
      <c r="R31" s="94">
        <f t="shared" ca="1" si="16"/>
        <v>679.86154453754477</v>
      </c>
      <c r="S31" s="94">
        <f t="shared" ca="1" si="16"/>
        <v>1108.5467740058023</v>
      </c>
      <c r="T31" s="94">
        <f t="shared" ca="1" si="16"/>
        <v>1727.986714423603</v>
      </c>
      <c r="U31" s="94">
        <f t="shared" ca="1" si="16"/>
        <v>2162.240631060703</v>
      </c>
      <c r="V31" s="94">
        <f t="shared" ca="1" si="16"/>
        <v>3173.1706473232566</v>
      </c>
      <c r="W31" s="94">
        <f t="shared" ca="1" si="16"/>
        <v>4697.5386618952771</v>
      </c>
      <c r="X31" s="94">
        <f t="shared" ca="1" si="16"/>
        <v>4690.9095435479139</v>
      </c>
      <c r="Y31" s="94">
        <f t="shared" ca="1" si="16"/>
        <v>6341.1063506757091</v>
      </c>
      <c r="Z31" s="94">
        <f t="shared" ca="1" si="16"/>
        <v>7282.2739961626421</v>
      </c>
      <c r="AA31" s="94">
        <f t="shared" ca="1" si="16"/>
        <v>9005.3419190857185</v>
      </c>
      <c r="AB31" s="94">
        <f t="shared" ca="1" si="16"/>
        <v>11532.107245565834</v>
      </c>
      <c r="AC31" s="94">
        <f t="shared" ca="1" si="16"/>
        <v>15599.73115051823</v>
      </c>
      <c r="AD31" s="94">
        <f t="shared" ca="1" si="16"/>
        <v>14739.02460747602</v>
      </c>
      <c r="AE31" s="94">
        <f t="shared" ca="1" si="16"/>
        <v>18155.237476821978</v>
      </c>
      <c r="AF31" s="94">
        <f t="shared" ca="1" si="16"/>
        <v>18946.266106137115</v>
      </c>
      <c r="AG31" s="94">
        <f t="shared" ca="1" si="16"/>
        <v>21462.006578758032</v>
      </c>
      <c r="AH31" s="94">
        <f t="shared" ca="1" si="16"/>
        <v>23453.795612122627</v>
      </c>
      <c r="AI31" s="94">
        <f t="shared" ca="1" si="16"/>
        <v>22161.474904617782</v>
      </c>
      <c r="AJ31" s="94">
        <f t="shared" ca="1" si="16"/>
        <v>21469.893828048018</v>
      </c>
      <c r="AK31" s="94">
        <f t="shared" ca="1" si="16"/>
        <v>22690.871291591422</v>
      </c>
      <c r="AL31" s="94">
        <f t="shared" ca="1" si="16"/>
        <v>21720.187951966011</v>
      </c>
      <c r="AM31" s="94">
        <f t="shared" ca="1" si="16"/>
        <v>29283.923892066981</v>
      </c>
      <c r="AN31" s="94">
        <f t="shared" ca="1" si="16"/>
        <v>28469.559227128997</v>
      </c>
      <c r="AO31" s="94">
        <f t="shared" ca="1" si="16"/>
        <v>29388.916183385347</v>
      </c>
      <c r="AP31" s="94">
        <f t="shared" ca="1" si="16"/>
        <v>30091.839589207291</v>
      </c>
      <c r="AQ31" s="94">
        <f t="shared" ca="1" si="16"/>
        <v>29083.988940124898</v>
      </c>
      <c r="AR31" s="94">
        <f t="shared" ca="1" si="16"/>
        <v>24062.011692909709</v>
      </c>
      <c r="AS31" s="94">
        <f t="shared" ca="1" si="16"/>
        <v>25658.481985640185</v>
      </c>
      <c r="AT31" s="94">
        <f t="shared" ca="1" si="16"/>
        <v>25930.019623136894</v>
      </c>
      <c r="AU31" s="94">
        <f t="shared" ca="1" si="16"/>
        <v>26917.114748287266</v>
      </c>
      <c r="AV31" s="94">
        <f t="shared" ca="1" si="16"/>
        <v>29995.218516848796</v>
      </c>
      <c r="AW31" s="94">
        <f t="shared" ca="1" si="16"/>
        <v>37774.738333142857</v>
      </c>
      <c r="AX31" s="94">
        <f t="shared" ca="1" si="16"/>
        <v>40680.117985595039</v>
      </c>
      <c r="AY31" s="94">
        <f t="shared" ca="1" si="16"/>
        <v>44645.181638393711</v>
      </c>
      <c r="AZ31" s="94">
        <f t="shared" ca="1" si="16"/>
        <v>43352.05149903964</v>
      </c>
      <c r="BA31" s="94">
        <f t="shared" ca="1" si="16"/>
        <v>50244.078610494187</v>
      </c>
      <c r="BB31" s="94">
        <f t="shared" ca="1" si="16"/>
        <v>47779.895200616935</v>
      </c>
      <c r="BC31" s="94">
        <f t="shared" ca="1" si="16"/>
        <v>58130.367537660619</v>
      </c>
      <c r="BD31" s="94">
        <f t="shared" ca="1" si="16"/>
        <v>55813.519122292513</v>
      </c>
      <c r="BE31" s="94">
        <f t="shared" ca="1" si="16"/>
        <v>55611.820736414746</v>
      </c>
      <c r="BF31" s="94">
        <f t="shared" ca="1" si="16"/>
        <v>68047.415125034095</v>
      </c>
      <c r="BG31" s="94">
        <f t="shared" ca="1" si="16"/>
        <v>82762.246762957497</v>
      </c>
      <c r="BH31" s="94">
        <f t="shared" ca="1" si="16"/>
        <v>85784.554368728626</v>
      </c>
    </row>
    <row r="32" spans="1:60" x14ac:dyDescent="0.3">
      <c r="A32" s="83" t="str">
        <f t="shared" si="15"/>
        <v>2050Fixed Income</v>
      </c>
      <c r="B32" s="83" t="str">
        <f t="shared" si="15"/>
        <v>2050Equity</v>
      </c>
      <c r="C32" s="84"/>
      <c r="D32" s="143">
        <v>2050</v>
      </c>
      <c r="E32" s="144">
        <v>0.05</v>
      </c>
      <c r="F32" s="145" t="s">
        <v>50</v>
      </c>
      <c r="G32" s="138" t="s">
        <v>46</v>
      </c>
      <c r="I32" s="84"/>
      <c r="O32" s="2" t="s">
        <v>61</v>
      </c>
      <c r="P32" s="146">
        <v>791.49017046903373</v>
      </c>
      <c r="Q32" s="147">
        <v>3615.9512874950092</v>
      </c>
      <c r="R32" s="147">
        <v>7399.4097866576258</v>
      </c>
      <c r="S32" s="147">
        <v>12545.30129745357</v>
      </c>
      <c r="T32" s="147">
        <v>14415.704869945346</v>
      </c>
      <c r="U32" s="147">
        <v>24847.054909854854</v>
      </c>
      <c r="V32" s="147">
        <v>28415.162777717738</v>
      </c>
      <c r="W32" s="147">
        <v>34163.373413567453</v>
      </c>
      <c r="X32" s="147">
        <v>65053.908327987083</v>
      </c>
      <c r="Y32" s="147">
        <v>74840.371883356929</v>
      </c>
      <c r="Z32" s="147">
        <v>84828.031256953356</v>
      </c>
      <c r="AA32" s="147">
        <v>88063.943721152275</v>
      </c>
      <c r="AB32" s="147">
        <v>103184.43325354088</v>
      </c>
      <c r="AC32" s="147">
        <v>119578.01288637143</v>
      </c>
      <c r="AD32" s="147">
        <v>127629.55247843235</v>
      </c>
      <c r="AE32" s="147">
        <v>156986.83248823151</v>
      </c>
      <c r="AF32" s="147">
        <v>174296.86082237848</v>
      </c>
      <c r="AG32" s="147">
        <v>199474.1465904908</v>
      </c>
      <c r="AH32" s="147">
        <v>234496.83832914839</v>
      </c>
      <c r="AI32" s="147">
        <v>256364.97032159986</v>
      </c>
      <c r="AJ32" s="147">
        <v>256424.736322802</v>
      </c>
      <c r="AK32" s="147">
        <v>280351.31788202218</v>
      </c>
      <c r="AL32" s="147">
        <v>308047.05612966634</v>
      </c>
      <c r="AM32" s="147">
        <v>318650.34723256226</v>
      </c>
      <c r="AN32" s="147">
        <v>369726.68413943943</v>
      </c>
      <c r="AO32" s="147">
        <v>363692.99335144059</v>
      </c>
      <c r="AP32" s="147">
        <v>421623.06601955422</v>
      </c>
      <c r="AQ32" s="147">
        <v>493491.91701088235</v>
      </c>
      <c r="AR32" s="147">
        <v>556971.90620027133</v>
      </c>
      <c r="AS32" s="147">
        <v>572160.90614066075</v>
      </c>
      <c r="AT32" s="147">
        <v>603094.48227506632</v>
      </c>
      <c r="AU32" s="147">
        <v>740717.41263223521</v>
      </c>
      <c r="AV32" s="147">
        <v>839469.71630462899</v>
      </c>
      <c r="AW32" s="147">
        <v>824487.12984353187</v>
      </c>
      <c r="AX32" s="147">
        <v>911712.34856703389</v>
      </c>
      <c r="AY32" s="147">
        <v>856526.46222731972</v>
      </c>
      <c r="AZ32" s="147">
        <v>732244.53171506838</v>
      </c>
      <c r="BA32" s="147">
        <v>809391.72407903848</v>
      </c>
      <c r="BB32" s="147">
        <v>745333.7234909921</v>
      </c>
      <c r="BC32" s="147">
        <v>798729.97549167171</v>
      </c>
      <c r="BD32" s="147">
        <v>737981.9905432869</v>
      </c>
      <c r="BE32" s="147">
        <v>752422.5723672274</v>
      </c>
      <c r="BF32" s="147">
        <v>659161.69652164681</v>
      </c>
      <c r="BG32" s="147">
        <v>702670.16851345624</v>
      </c>
      <c r="BH32" s="147">
        <v>731453.70835122326</v>
      </c>
    </row>
    <row r="33" spans="1:64" x14ac:dyDescent="0.3">
      <c r="A33" s="83" t="str">
        <f t="shared" si="15"/>
        <v>2055Fixed Income</v>
      </c>
      <c r="B33" s="83" t="str">
        <f t="shared" si="15"/>
        <v>2055Equity</v>
      </c>
      <c r="C33" s="84"/>
      <c r="D33" s="143">
        <v>2055</v>
      </c>
      <c r="E33" s="144">
        <v>0.05</v>
      </c>
      <c r="F33" s="145" t="s">
        <v>50</v>
      </c>
      <c r="G33" s="138" t="s">
        <v>46</v>
      </c>
      <c r="I33" s="84"/>
      <c r="O33" s="92" t="s">
        <v>80</v>
      </c>
      <c r="P33" s="148">
        <f ca="1">SUM(P28:P32)</f>
        <v>791.49017046903373</v>
      </c>
      <c r="Q33" s="148">
        <f t="shared" ref="Q33:BH33" ca="1" si="17">SUM(Q28:Q32)</f>
        <v>16246.515525774063</v>
      </c>
      <c r="R33" s="148">
        <f t="shared" ca="1" si="17"/>
        <v>38183.968998389944</v>
      </c>
      <c r="S33" s="148">
        <f t="shared" ca="1" si="17"/>
        <v>62160.258312569116</v>
      </c>
      <c r="T33" s="148">
        <f t="shared" ca="1" si="17"/>
        <v>83326.846038842472</v>
      </c>
      <c r="U33" s="148">
        <f t="shared" ca="1" si="17"/>
        <v>100793.23213213449</v>
      </c>
      <c r="V33" s="148">
        <f t="shared" ca="1" si="17"/>
        <v>158287.31417126645</v>
      </c>
      <c r="W33" s="148">
        <f t="shared" ca="1" si="17"/>
        <v>207181.01130877243</v>
      </c>
      <c r="X33" s="148">
        <f t="shared" ca="1" si="17"/>
        <v>223999.16734019079</v>
      </c>
      <c r="Y33" s="148">
        <f t="shared" ca="1" si="17"/>
        <v>299179.4174394256</v>
      </c>
      <c r="Z33" s="148">
        <f t="shared" ca="1" si="17"/>
        <v>297712.1801816611</v>
      </c>
      <c r="AA33" s="148">
        <f t="shared" ca="1" si="17"/>
        <v>299980.02047507686</v>
      </c>
      <c r="AB33" s="148">
        <f t="shared" ca="1" si="17"/>
        <v>343599.27922577359</v>
      </c>
      <c r="AC33" s="148">
        <f t="shared" ca="1" si="17"/>
        <v>314639.98676741449</v>
      </c>
      <c r="AD33" s="148">
        <f t="shared" ca="1" si="17"/>
        <v>342077.0337719901</v>
      </c>
      <c r="AE33" s="148">
        <f t="shared" ca="1" si="17"/>
        <v>446584.74314460577</v>
      </c>
      <c r="AF33" s="148">
        <f t="shared" ca="1" si="17"/>
        <v>482716.79721048457</v>
      </c>
      <c r="AG33" s="148">
        <f t="shared" ca="1" si="17"/>
        <v>508917.04168021074</v>
      </c>
      <c r="AH33" s="148">
        <f t="shared" ca="1" si="17"/>
        <v>578403.1848338577</v>
      </c>
      <c r="AI33" s="148">
        <f t="shared" ca="1" si="17"/>
        <v>589745.02134212619</v>
      </c>
      <c r="AJ33" s="148">
        <f t="shared" ca="1" si="17"/>
        <v>585985.00268451963</v>
      </c>
      <c r="AK33" s="148">
        <f t="shared" ca="1" si="17"/>
        <v>653488.69428049063</v>
      </c>
      <c r="AL33" s="148">
        <f t="shared" ca="1" si="17"/>
        <v>764799.92394466</v>
      </c>
      <c r="AM33" s="148">
        <f t="shared" ca="1" si="17"/>
        <v>867873.25129195116</v>
      </c>
      <c r="AN33" s="148">
        <f t="shared" ca="1" si="17"/>
        <v>974297.27077957755</v>
      </c>
      <c r="AO33" s="148">
        <f t="shared" ca="1" si="17"/>
        <v>1194347.4719996543</v>
      </c>
      <c r="AP33" s="148">
        <f t="shared" ca="1" si="17"/>
        <v>1385031.8028503717</v>
      </c>
      <c r="AQ33" s="148">
        <f t="shared" ca="1" si="17"/>
        <v>1703261.8929697529</v>
      </c>
      <c r="AR33" s="148">
        <f t="shared" ca="1" si="17"/>
        <v>1974665.0282384048</v>
      </c>
      <c r="AS33" s="148">
        <f t="shared" ca="1" si="17"/>
        <v>2009825.707560414</v>
      </c>
      <c r="AT33" s="148">
        <f t="shared" ca="1" si="17"/>
        <v>1773133.798006441</v>
      </c>
      <c r="AU33" s="148">
        <f t="shared" ca="1" si="17"/>
        <v>2212061.8909613015</v>
      </c>
      <c r="AV33" s="148">
        <f t="shared" ca="1" si="17"/>
        <v>2492923.6265592724</v>
      </c>
      <c r="AW33" s="148">
        <f t="shared" ca="1" si="17"/>
        <v>2777614.189464808</v>
      </c>
      <c r="AX33" s="148">
        <f t="shared" ca="1" si="17"/>
        <v>3213417.4307653308</v>
      </c>
      <c r="AY33" s="148">
        <f t="shared" ca="1" si="17"/>
        <v>2842211.0422024806</v>
      </c>
      <c r="AZ33" s="148">
        <f t="shared" ca="1" si="17"/>
        <v>2645133.239730766</v>
      </c>
      <c r="BA33" s="148">
        <f t="shared" ca="1" si="17"/>
        <v>2926501.2880513724</v>
      </c>
      <c r="BB33" s="148">
        <f t="shared" ca="1" si="17"/>
        <v>3089452.8207709161</v>
      </c>
      <c r="BC33" s="148">
        <f t="shared" ca="1" si="17"/>
        <v>3597304.3173400899</v>
      </c>
      <c r="BD33" s="148">
        <f t="shared" ca="1" si="17"/>
        <v>4012249.1743445522</v>
      </c>
      <c r="BE33" s="148">
        <f t="shared" ca="1" si="17"/>
        <v>3984629.4921244746</v>
      </c>
      <c r="BF33" s="148">
        <f t="shared" ca="1" si="17"/>
        <v>5045707.5020875614</v>
      </c>
      <c r="BG33" s="148">
        <f t="shared" ca="1" si="17"/>
        <v>5681073.4767849101</v>
      </c>
      <c r="BH33" s="148">
        <f t="shared" ca="1" si="17"/>
        <v>5070853.2827643398</v>
      </c>
    </row>
    <row r="34" spans="1:64" x14ac:dyDescent="0.3">
      <c r="A34" s="83" t="str">
        <f t="shared" si="15"/>
        <v/>
      </c>
      <c r="B34" s="83" t="str">
        <f t="shared" si="15"/>
        <v/>
      </c>
      <c r="C34" s="84"/>
      <c r="D34" s="143"/>
      <c r="E34" s="144"/>
      <c r="F34" s="145"/>
      <c r="G34" s="138"/>
      <c r="I34" s="84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4" x14ac:dyDescent="0.3">
      <c r="A35" s="83" t="str">
        <f t="shared" si="15"/>
        <v/>
      </c>
      <c r="B35" s="83" t="str">
        <f t="shared" si="15"/>
        <v/>
      </c>
      <c r="C35" s="84"/>
      <c r="D35" s="143"/>
      <c r="E35" s="144"/>
      <c r="F35" s="145"/>
      <c r="G35" s="138"/>
      <c r="I35" s="84"/>
      <c r="O35" s="83" t="s">
        <v>81</v>
      </c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4" x14ac:dyDescent="0.3">
      <c r="A36" s="83" t="str">
        <f t="shared" si="15"/>
        <v/>
      </c>
      <c r="B36" s="83" t="str">
        <f t="shared" si="15"/>
        <v/>
      </c>
      <c r="C36" s="84"/>
      <c r="D36" s="143"/>
      <c r="E36" s="144"/>
      <c r="F36" s="145"/>
      <c r="G36" s="138"/>
      <c r="I36" s="84"/>
      <c r="O36" s="103" t="s">
        <v>82</v>
      </c>
      <c r="P36" s="149">
        <v>32152.496814096121</v>
      </c>
      <c r="Q36" s="149">
        <v>41751.371552379649</v>
      </c>
      <c r="R36" s="149">
        <v>56708.877941322768</v>
      </c>
      <c r="S36" s="149">
        <v>86678.625068278066</v>
      </c>
      <c r="T36" s="149">
        <v>146434.23297594747</v>
      </c>
      <c r="U36" s="149">
        <v>216258.81805814951</v>
      </c>
      <c r="V36" s="149">
        <v>277255.84259633528</v>
      </c>
      <c r="W36" s="149">
        <v>541926.4627454204</v>
      </c>
      <c r="X36" s="149">
        <v>639184.89312011166</v>
      </c>
      <c r="Y36" s="149">
        <v>829094.04945863341</v>
      </c>
      <c r="Z36" s="149">
        <v>1022963.8261949458</v>
      </c>
      <c r="AA36" s="149">
        <v>1196664.1914676884</v>
      </c>
      <c r="AB36" s="149">
        <v>1410122.2395363846</v>
      </c>
      <c r="AC36" s="149">
        <v>1998638.7336462603</v>
      </c>
      <c r="AD36" s="149">
        <v>2206126.9617547332</v>
      </c>
      <c r="AE36" s="149">
        <v>2909331.2260384969</v>
      </c>
      <c r="AF36" s="149">
        <v>3556203.2914338531</v>
      </c>
      <c r="AG36" s="149">
        <v>4268718.1436657934</v>
      </c>
      <c r="AH36" s="149">
        <v>4559043.3570608944</v>
      </c>
      <c r="AI36" s="149">
        <v>4929848.0472712051</v>
      </c>
      <c r="AJ36" s="149">
        <v>4649531.4555318905</v>
      </c>
      <c r="AK36" s="149">
        <v>5643853.9118216047</v>
      </c>
      <c r="AL36" s="149">
        <v>7774459.3111002622</v>
      </c>
      <c r="AM36" s="149">
        <v>7512029.4956470253</v>
      </c>
      <c r="AN36" s="149">
        <v>8743655.0812087189</v>
      </c>
      <c r="AO36" s="149">
        <v>8904715.7913240846</v>
      </c>
      <c r="AP36" s="149">
        <v>8519013.7498736791</v>
      </c>
      <c r="AQ36" s="149">
        <v>9183673.050590748</v>
      </c>
      <c r="AR36" s="149">
        <v>9938118.1121979877</v>
      </c>
      <c r="AS36" s="149">
        <v>11283964.401039978</v>
      </c>
      <c r="AT36" s="149">
        <v>12265374.645552944</v>
      </c>
      <c r="AU36" s="149">
        <v>16179931.137456592</v>
      </c>
      <c r="AV36" s="149">
        <v>12744083.83410003</v>
      </c>
      <c r="AW36" s="149">
        <v>12285591.915862696</v>
      </c>
      <c r="AX36" s="149">
        <v>11951758.774191687</v>
      </c>
      <c r="AY36" s="149">
        <v>12792299.851418836</v>
      </c>
      <c r="AZ36" s="149">
        <v>14824148.65180373</v>
      </c>
      <c r="BA36" s="149">
        <v>18820330.503307976</v>
      </c>
      <c r="BB36" s="149">
        <v>19444514.956776444</v>
      </c>
      <c r="BC36" s="149">
        <v>19650303.354416959</v>
      </c>
      <c r="BD36" s="149">
        <v>16651035.830870457</v>
      </c>
      <c r="BE36" s="149">
        <v>17165351.347368021</v>
      </c>
      <c r="BF36" s="149">
        <v>19940520.006242588</v>
      </c>
      <c r="BG36" s="149">
        <v>21060037.374040749</v>
      </c>
      <c r="BH36" s="149">
        <v>24701594.15345373</v>
      </c>
    </row>
    <row r="37" spans="1:64" x14ac:dyDescent="0.3">
      <c r="A37" s="83" t="str">
        <f t="shared" si="15"/>
        <v/>
      </c>
      <c r="B37" s="83" t="str">
        <f t="shared" si="15"/>
        <v/>
      </c>
      <c r="C37" s="84"/>
      <c r="D37" s="143"/>
      <c r="E37" s="144"/>
      <c r="F37" s="145"/>
      <c r="G37" s="138"/>
      <c r="I37" s="84"/>
      <c r="O37" s="103" t="s">
        <v>83</v>
      </c>
      <c r="P37" s="149">
        <v>33332.983076924625</v>
      </c>
      <c r="Q37" s="149">
        <v>55568.230804212377</v>
      </c>
      <c r="R37" s="149">
        <v>92942.444333240433</v>
      </c>
      <c r="S37" s="149">
        <v>133100.93848738074</v>
      </c>
      <c r="T37" s="149">
        <v>205487.72164659121</v>
      </c>
      <c r="U37" s="149">
        <v>248825.40281122879</v>
      </c>
      <c r="V37" s="149">
        <v>335124.06371441158</v>
      </c>
      <c r="W37" s="149">
        <v>631200.54775521194</v>
      </c>
      <c r="X37" s="149">
        <v>829551.34511660482</v>
      </c>
      <c r="Y37" s="149">
        <v>1106794.2985610645</v>
      </c>
      <c r="Z37" s="149">
        <v>1309164.4054644916</v>
      </c>
      <c r="AA37" s="149">
        <v>1590845.796041203</v>
      </c>
      <c r="AB37" s="149">
        <v>1457649.9014320024</v>
      </c>
      <c r="AC37" s="149">
        <v>1606926.3673533935</v>
      </c>
      <c r="AD37" s="149">
        <v>1786731.1675841871</v>
      </c>
      <c r="AE37" s="149">
        <v>1910655.3466818908</v>
      </c>
      <c r="AF37" s="149">
        <v>1995168.6196067322</v>
      </c>
      <c r="AG37" s="149">
        <v>2182788.8686609399</v>
      </c>
      <c r="AH37" s="149">
        <v>2775578.2940115985</v>
      </c>
      <c r="AI37" s="149">
        <v>3236031.4979595141</v>
      </c>
      <c r="AJ37" s="149">
        <v>2650782.0556496689</v>
      </c>
      <c r="AK37" s="149">
        <v>3305733.0305539318</v>
      </c>
      <c r="AL37" s="149">
        <v>3480073.6556148143</v>
      </c>
      <c r="AM37" s="149">
        <v>4002464.4853061764</v>
      </c>
      <c r="AN37" s="149">
        <v>4845734.520188977</v>
      </c>
      <c r="AO37" s="149">
        <v>7312253.4489550618</v>
      </c>
      <c r="AP37" s="149">
        <v>9133541.0041663814</v>
      </c>
      <c r="AQ37" s="149">
        <v>9314875.3722067196</v>
      </c>
      <c r="AR37" s="149">
        <v>11100024.451434465</v>
      </c>
      <c r="AS37" s="149">
        <v>10136058.378917368</v>
      </c>
      <c r="AT37" s="149">
        <v>10170880.741452986</v>
      </c>
      <c r="AU37" s="149">
        <v>7588462.899127488</v>
      </c>
      <c r="AV37" s="149">
        <v>9589648.7024547681</v>
      </c>
      <c r="AW37" s="149">
        <v>10455895.45738269</v>
      </c>
      <c r="AX37" s="149">
        <v>13203792.282437425</v>
      </c>
      <c r="AY37" s="149">
        <v>16395901.996049372</v>
      </c>
      <c r="AZ37" s="149">
        <v>20050406.469990976</v>
      </c>
      <c r="BA37" s="149">
        <v>25750590.134707514</v>
      </c>
      <c r="BB37" s="149">
        <v>28052320.697722133</v>
      </c>
      <c r="BC37" s="149">
        <v>36201050.111794412</v>
      </c>
      <c r="BD37" s="149">
        <v>48716342.685669124</v>
      </c>
      <c r="BE37" s="149">
        <v>57306011.939903237</v>
      </c>
      <c r="BF37" s="149">
        <v>50296770.097845964</v>
      </c>
      <c r="BG37" s="149">
        <v>53524812.978312373</v>
      </c>
      <c r="BH37" s="149">
        <v>60288982.245820612</v>
      </c>
    </row>
    <row r="38" spans="1:64" ht="16.2" thickBot="1" x14ac:dyDescent="0.35">
      <c r="A38" s="83" t="str">
        <f t="shared" si="15"/>
        <v/>
      </c>
      <c r="B38" s="83" t="str">
        <f t="shared" si="15"/>
        <v/>
      </c>
      <c r="C38" s="84"/>
      <c r="D38" s="150"/>
      <c r="E38" s="151"/>
      <c r="F38" s="152"/>
      <c r="G38" s="142"/>
      <c r="I38" s="84"/>
      <c r="O38" s="103" t="s">
        <v>84</v>
      </c>
      <c r="P38" s="149">
        <v>32263.103339243353</v>
      </c>
      <c r="Q38" s="149">
        <v>51762.926065783409</v>
      </c>
      <c r="R38" s="149">
        <v>89042.669998239056</v>
      </c>
      <c r="S38" s="149">
        <v>114569.31311978272</v>
      </c>
      <c r="T38" s="149">
        <v>205243.6285853599</v>
      </c>
      <c r="U38" s="149">
        <v>320641.7715156565</v>
      </c>
      <c r="V38" s="149">
        <v>485651.29840219219</v>
      </c>
      <c r="W38" s="149">
        <v>1193750.2535997976</v>
      </c>
      <c r="X38" s="149">
        <v>1409106.4597361558</v>
      </c>
      <c r="Y38" s="149">
        <v>1413327.7094131915</v>
      </c>
      <c r="Z38" s="149">
        <v>1501022.3174828095</v>
      </c>
      <c r="AA38" s="149">
        <v>1663413.7480748105</v>
      </c>
      <c r="AB38" s="149">
        <v>2256488.0142446663</v>
      </c>
      <c r="AC38" s="149">
        <v>2723970.4696219773</v>
      </c>
      <c r="AD38" s="149">
        <v>3727495.7643753546</v>
      </c>
      <c r="AE38" s="149">
        <v>3047960.8399788984</v>
      </c>
      <c r="AF38" s="149">
        <v>3475152.9792366899</v>
      </c>
      <c r="AG38" s="149">
        <v>3498760.5881162025</v>
      </c>
      <c r="AH38" s="149">
        <v>3584549.0233961446</v>
      </c>
      <c r="AI38" s="149">
        <v>2928473.2068280107</v>
      </c>
      <c r="AJ38" s="149">
        <v>2918680.0287542134</v>
      </c>
      <c r="AK38" s="149">
        <v>3286239.7779023647</v>
      </c>
      <c r="AL38" s="149">
        <v>4180308.4199367799</v>
      </c>
      <c r="AM38" s="149">
        <v>3886357.2375561772</v>
      </c>
      <c r="AN38" s="149">
        <v>5478053.29606215</v>
      </c>
      <c r="AO38" s="149">
        <v>5567542.7592796972</v>
      </c>
      <c r="AP38" s="149">
        <v>5188938.5799541501</v>
      </c>
      <c r="AQ38" s="149">
        <v>6680250.4993542768</v>
      </c>
      <c r="AR38" s="149">
        <v>7742122.3410179289</v>
      </c>
      <c r="AS38" s="149">
        <v>8243963.8555646753</v>
      </c>
      <c r="AT38" s="149">
        <v>6526327.3718852587</v>
      </c>
      <c r="AU38" s="149">
        <v>8046360.4980237223</v>
      </c>
      <c r="AV38" s="149">
        <v>8552736.847280452</v>
      </c>
      <c r="AW38" s="149">
        <v>9913457.9497367311</v>
      </c>
      <c r="AX38" s="149">
        <v>10550277.944699628</v>
      </c>
      <c r="AY38" s="149">
        <v>8217202.9967740159</v>
      </c>
      <c r="AZ38" s="149">
        <v>8357353.1690725544</v>
      </c>
      <c r="BA38" s="149">
        <v>9858864.42888573</v>
      </c>
      <c r="BB38" s="149">
        <v>13530314.214080783</v>
      </c>
      <c r="BC38" s="149">
        <v>15452137.057426265</v>
      </c>
      <c r="BD38" s="149">
        <v>18265188.407351848</v>
      </c>
      <c r="BE38" s="149">
        <v>24470863.050503179</v>
      </c>
      <c r="BF38" s="149">
        <v>29629780.073125515</v>
      </c>
      <c r="BG38" s="149">
        <v>24846995.03149933</v>
      </c>
      <c r="BH38" s="149">
        <v>28513101.230151847</v>
      </c>
    </row>
    <row r="39" spans="1:64" x14ac:dyDescent="0.3">
      <c r="C39" s="84"/>
      <c r="H39" s="84"/>
      <c r="I39" s="84"/>
      <c r="O39" s="153" t="s">
        <v>85</v>
      </c>
      <c r="P39" s="149">
        <v>25132.800316823752</v>
      </c>
      <c r="Q39" s="149">
        <v>54164.431015212227</v>
      </c>
      <c r="R39" s="149">
        <v>87181.630645632467</v>
      </c>
      <c r="S39" s="149">
        <v>91107.782005771543</v>
      </c>
      <c r="T39" s="149">
        <v>109493.11287725806</v>
      </c>
      <c r="U39" s="149">
        <v>129617.04356199107</v>
      </c>
      <c r="V39" s="149">
        <v>135959.88153517895</v>
      </c>
      <c r="W39" s="149">
        <v>715667.30060599837</v>
      </c>
      <c r="X39" s="149">
        <v>715974.67452310689</v>
      </c>
      <c r="Y39" s="149">
        <v>931323.59270533524</v>
      </c>
      <c r="Z39" s="149">
        <v>1005986.5147626183</v>
      </c>
      <c r="AA39" s="149">
        <v>1154330.8886164571</v>
      </c>
      <c r="AB39" s="149">
        <v>1592582.3913053041</v>
      </c>
      <c r="AC39" s="149">
        <v>1272947.4899306647</v>
      </c>
      <c r="AD39" s="149">
        <v>1328481.1372353481</v>
      </c>
      <c r="AE39" s="149">
        <v>1524741.8517619171</v>
      </c>
      <c r="AF39" s="149">
        <v>1782383.1552712482</v>
      </c>
      <c r="AG39" s="149">
        <v>2017861.5182868433</v>
      </c>
      <c r="AH39" s="149">
        <v>2143121.5303766173</v>
      </c>
      <c r="AI39" s="149">
        <v>1378560.4287276852</v>
      </c>
      <c r="AJ39" s="149">
        <v>1519654.6848466767</v>
      </c>
      <c r="AK39" s="149">
        <v>1693870.2240663646</v>
      </c>
      <c r="AL39" s="149">
        <v>1777520.5451603951</v>
      </c>
      <c r="AM39" s="149">
        <v>2500037.6556256544</v>
      </c>
      <c r="AN39" s="149">
        <v>2567233.0381306689</v>
      </c>
      <c r="AO39" s="149">
        <v>2926254.5116290068</v>
      </c>
      <c r="AP39" s="149">
        <v>3005780.3114855886</v>
      </c>
      <c r="AQ39" s="149">
        <v>3195259.8893687851</v>
      </c>
      <c r="AR39" s="149">
        <v>4123524.0496763503</v>
      </c>
      <c r="AS39" s="149">
        <v>5628760.7021944895</v>
      </c>
      <c r="AT39" s="149">
        <v>6887327.6229398008</v>
      </c>
      <c r="AU39" s="149">
        <v>7886893.6803429015</v>
      </c>
      <c r="AV39" s="149">
        <v>6365144.9126163609</v>
      </c>
      <c r="AW39" s="149">
        <v>7949249.7412294289</v>
      </c>
      <c r="AX39" s="149">
        <v>7460096.8935219301</v>
      </c>
      <c r="AY39" s="149">
        <v>8893631.7301846649</v>
      </c>
      <c r="AZ39" s="149">
        <v>10178026.458599249</v>
      </c>
      <c r="BA39" s="149">
        <v>9556890.1952117644</v>
      </c>
      <c r="BB39" s="149">
        <v>9821977.6581741609</v>
      </c>
      <c r="BC39" s="149">
        <v>10644350.305680525</v>
      </c>
      <c r="BD39" s="149">
        <v>11381432.575692868</v>
      </c>
      <c r="BE39" s="149">
        <v>13533384.553751796</v>
      </c>
      <c r="BF39" s="149">
        <v>17581086.207412347</v>
      </c>
      <c r="BG39" s="149">
        <v>23067410.677344047</v>
      </c>
      <c r="BH39" s="149">
        <v>17101473.014232412</v>
      </c>
    </row>
    <row r="40" spans="1:64" x14ac:dyDescent="0.3">
      <c r="C40" s="84"/>
      <c r="H40" s="84"/>
      <c r="I40" s="84"/>
      <c r="O40" s="153" t="s">
        <v>86</v>
      </c>
      <c r="P40" s="149">
        <v>35765.795451545178</v>
      </c>
      <c r="Q40" s="149">
        <v>39369.374322674354</v>
      </c>
      <c r="R40" s="149">
        <v>74047.223251734278</v>
      </c>
      <c r="S40" s="149">
        <v>90035.035771962372</v>
      </c>
      <c r="T40" s="149">
        <v>128767.2052528529</v>
      </c>
      <c r="U40" s="149">
        <v>139830.24207187438</v>
      </c>
      <c r="V40" s="149">
        <v>193490.01445820407</v>
      </c>
      <c r="W40" s="149">
        <v>739776.09457947302</v>
      </c>
      <c r="X40" s="149">
        <v>937104.53520102624</v>
      </c>
      <c r="Y40" s="149">
        <v>1063780.7613998912</v>
      </c>
      <c r="Z40" s="149">
        <v>848572.12614939315</v>
      </c>
      <c r="AA40" s="149">
        <v>1103296.6409332696</v>
      </c>
      <c r="AB40" s="149">
        <v>1223202.4264621716</v>
      </c>
      <c r="AC40" s="149">
        <v>1482307.9152842329</v>
      </c>
      <c r="AD40" s="149">
        <v>1775693.1434422676</v>
      </c>
      <c r="AE40" s="149">
        <v>1980892.4189573696</v>
      </c>
      <c r="AF40" s="149">
        <v>2467529.4221884091</v>
      </c>
      <c r="AG40" s="149">
        <v>3262269.2573048156</v>
      </c>
      <c r="AH40" s="149">
        <v>4042789.5809565228</v>
      </c>
      <c r="AI40" s="149">
        <v>3877538.1646973118</v>
      </c>
      <c r="AJ40" s="149">
        <v>3949381.7936429894</v>
      </c>
      <c r="AK40" s="149">
        <v>4008736.3741113204</v>
      </c>
      <c r="AL40" s="149">
        <v>4721322.1024478758</v>
      </c>
      <c r="AM40" s="149">
        <v>4521386.9257698534</v>
      </c>
      <c r="AN40" s="149">
        <v>4923771.7752864258</v>
      </c>
      <c r="AO40" s="149">
        <v>5622855.8453416582</v>
      </c>
      <c r="AP40" s="149">
        <v>6200569.5948097762</v>
      </c>
      <c r="AQ40" s="149">
        <v>6485742.0335021811</v>
      </c>
      <c r="AR40" s="149">
        <v>8476310.3768123947</v>
      </c>
      <c r="AS40" s="149">
        <v>9689168.0279721338</v>
      </c>
      <c r="AT40" s="149">
        <v>10164701.382531742</v>
      </c>
      <c r="AU40" s="149">
        <v>11046411.042955918</v>
      </c>
      <c r="AV40" s="149">
        <v>12661277.352808766</v>
      </c>
      <c r="AW40" s="149">
        <v>14135731.802583285</v>
      </c>
      <c r="AX40" s="149">
        <v>17177581.423930068</v>
      </c>
      <c r="AY40" s="149">
        <v>19709682.847421661</v>
      </c>
      <c r="AZ40" s="149">
        <v>24473340.453829583</v>
      </c>
      <c r="BA40" s="149">
        <v>27794401.004397608</v>
      </c>
      <c r="BB40" s="149">
        <v>29313501.480598535</v>
      </c>
      <c r="BC40" s="149">
        <v>29664656.323619157</v>
      </c>
      <c r="BD40" s="149">
        <v>30210514.886460096</v>
      </c>
      <c r="BE40" s="149">
        <v>40312300.640185639</v>
      </c>
      <c r="BF40" s="149">
        <v>50001717.376927122</v>
      </c>
      <c r="BG40" s="149">
        <v>68633154.041487157</v>
      </c>
      <c r="BH40" s="149">
        <v>73992261.922239438</v>
      </c>
    </row>
    <row r="41" spans="1:64" x14ac:dyDescent="0.3">
      <c r="C41" s="84"/>
      <c r="H41" s="84"/>
      <c r="I41" s="84"/>
      <c r="O41" s="153" t="s">
        <v>87</v>
      </c>
      <c r="P41" s="149">
        <v>38527.660290678927</v>
      </c>
      <c r="Q41" s="149">
        <v>57841.571993795034</v>
      </c>
      <c r="R41" s="149">
        <v>76906.064817549443</v>
      </c>
      <c r="S41" s="149">
        <v>114141.64299319478</v>
      </c>
      <c r="T41" s="149">
        <v>146110.0892532015</v>
      </c>
      <c r="U41" s="149">
        <v>163238.84072399139</v>
      </c>
      <c r="V41" s="149">
        <v>240567.18504234726</v>
      </c>
      <c r="W41" s="149">
        <v>741369.73163160542</v>
      </c>
      <c r="X41" s="149">
        <v>1101725.5044524015</v>
      </c>
      <c r="Y41" s="149">
        <v>1187444.5948600133</v>
      </c>
      <c r="Z41" s="149">
        <v>1557999.1913275095</v>
      </c>
      <c r="AA41" s="149">
        <v>1721514.4717777818</v>
      </c>
      <c r="AB41" s="149">
        <v>1702045.5628788578</v>
      </c>
      <c r="AC41" s="154">
        <v>2116943.4575363472</v>
      </c>
      <c r="AD41" s="154">
        <v>2402898.022951154</v>
      </c>
      <c r="AE41" s="154">
        <v>3217555.7583423462</v>
      </c>
      <c r="AF41" s="149">
        <v>2654170.8563985247</v>
      </c>
      <c r="AG41" s="149">
        <v>2904398.2648572605</v>
      </c>
      <c r="AH41" s="149">
        <v>2409395.6070510605</v>
      </c>
      <c r="AI41" s="149">
        <v>2944371.4620829853</v>
      </c>
      <c r="AJ41" s="149">
        <v>3629604.2030553552</v>
      </c>
      <c r="AK41" s="149">
        <v>4288495.917632224</v>
      </c>
      <c r="AL41" s="149">
        <v>5901556.9685487757</v>
      </c>
      <c r="AM41" s="149">
        <v>8030013.8633904355</v>
      </c>
      <c r="AN41" s="149">
        <v>9502608.4063681401</v>
      </c>
      <c r="AO41" s="149">
        <v>9925651.081905745</v>
      </c>
      <c r="AP41" s="149">
        <v>12409711.192163307</v>
      </c>
      <c r="AQ41" s="149">
        <v>15550747.419362256</v>
      </c>
      <c r="AR41" s="149">
        <v>18069341.454512823</v>
      </c>
      <c r="AS41" s="149">
        <v>20025934.768028565</v>
      </c>
      <c r="AT41" s="149">
        <v>19467042.296226829</v>
      </c>
      <c r="AU41" s="149">
        <v>21454830.23865775</v>
      </c>
      <c r="AV41" s="149">
        <v>27014032.014171533</v>
      </c>
      <c r="AW41" s="149">
        <v>24321155.652323227</v>
      </c>
      <c r="AX41" s="149">
        <v>30000915.055949979</v>
      </c>
      <c r="AY41" s="149">
        <v>28161371.194038883</v>
      </c>
      <c r="AZ41" s="149">
        <v>28394992.379184511</v>
      </c>
      <c r="BA41" s="149">
        <v>35727565.320105277</v>
      </c>
      <c r="BB41" s="149">
        <v>38883057.019148491</v>
      </c>
      <c r="BC41" s="149">
        <v>39094072.295605093</v>
      </c>
      <c r="BD41" s="149">
        <v>45283742.897501439</v>
      </c>
      <c r="BE41" s="149">
        <v>48439182.5783334</v>
      </c>
      <c r="BF41" s="149">
        <v>52909957.887456849</v>
      </c>
      <c r="BG41" s="149">
        <v>65917485.484613076</v>
      </c>
      <c r="BH41" s="149">
        <v>96411303.642905354</v>
      </c>
    </row>
    <row r="42" spans="1:64" x14ac:dyDescent="0.3">
      <c r="C42" s="84"/>
      <c r="H42" s="84"/>
      <c r="I42" s="84"/>
      <c r="O42" s="153" t="s">
        <v>88</v>
      </c>
      <c r="P42" s="149">
        <v>31440.62901741008</v>
      </c>
      <c r="Q42" s="149">
        <v>53669.208424993558</v>
      </c>
      <c r="R42" s="149">
        <v>93029.311651514028</v>
      </c>
      <c r="S42" s="149">
        <v>114054.50364986257</v>
      </c>
      <c r="T42" s="149">
        <v>147556.93788536612</v>
      </c>
      <c r="U42" s="149">
        <v>184287.20322192716</v>
      </c>
      <c r="V42" s="149">
        <v>229216.66071101633</v>
      </c>
      <c r="W42" s="149">
        <v>670215.53022009437</v>
      </c>
      <c r="X42" s="149">
        <v>1077558.8065631601</v>
      </c>
      <c r="Y42" s="149">
        <v>1186148.8628242901</v>
      </c>
      <c r="Z42" s="149">
        <v>1468681.4441325986</v>
      </c>
      <c r="AA42" s="149">
        <v>1555290.5787424489</v>
      </c>
      <c r="AB42" s="149">
        <v>1620836.6027891499</v>
      </c>
      <c r="AC42" s="149">
        <v>1730937.0345942583</v>
      </c>
      <c r="AD42" s="149">
        <v>2218868.6851859335</v>
      </c>
      <c r="AE42" s="149">
        <v>2719757.131124163</v>
      </c>
      <c r="AF42" s="149">
        <v>2471002.7320081056</v>
      </c>
      <c r="AG42" s="149">
        <v>2694883.1016478669</v>
      </c>
      <c r="AH42" s="149">
        <v>3067560.4507476157</v>
      </c>
      <c r="AI42" s="149">
        <v>3189786.3444056986</v>
      </c>
      <c r="AJ42" s="149">
        <v>3519777.7259289487</v>
      </c>
      <c r="AK42" s="149">
        <v>4183137.1425038292</v>
      </c>
      <c r="AL42" s="149">
        <v>5049202.6872369973</v>
      </c>
      <c r="AM42" s="149">
        <v>5006047.5126347244</v>
      </c>
      <c r="AN42" s="149">
        <v>4809314.5230072262</v>
      </c>
      <c r="AO42" s="149">
        <v>4947003.5919200322</v>
      </c>
      <c r="AP42" s="149">
        <v>6244337.1589721013</v>
      </c>
      <c r="AQ42" s="149">
        <v>6301104.2900999608</v>
      </c>
      <c r="AR42" s="149">
        <v>5576794.7937275609</v>
      </c>
      <c r="AS42" s="149">
        <v>5560549.9896744676</v>
      </c>
      <c r="AT42" s="149">
        <v>7294990.1051964732</v>
      </c>
      <c r="AU42" s="149">
        <v>8529281.9984627906</v>
      </c>
      <c r="AV42" s="149">
        <v>8697344.7426502667</v>
      </c>
      <c r="AW42" s="149">
        <v>7787137.3668197086</v>
      </c>
      <c r="AX42" s="149">
        <v>6991966.8263231348</v>
      </c>
      <c r="AY42" s="149">
        <v>7996353.3602901632</v>
      </c>
      <c r="AZ42" s="149">
        <v>9025847.2275178749</v>
      </c>
      <c r="BA42" s="149">
        <v>9590298.4195828196</v>
      </c>
      <c r="BB42" s="149">
        <v>9393599.2445392087</v>
      </c>
      <c r="BC42" s="149">
        <v>9478414.0881899092</v>
      </c>
      <c r="BD42" s="149">
        <v>9242357.8905175682</v>
      </c>
      <c r="BE42" s="149">
        <v>9567554.5834710654</v>
      </c>
      <c r="BF42" s="149">
        <v>11321462.382227618</v>
      </c>
      <c r="BG42" s="149">
        <v>14277870.333356377</v>
      </c>
      <c r="BH42" s="149">
        <v>16448920.18668819</v>
      </c>
    </row>
    <row r="43" spans="1:64" x14ac:dyDescent="0.3">
      <c r="C43" s="84"/>
      <c r="H43" s="84"/>
      <c r="I43" s="84"/>
      <c r="O43" s="153" t="s">
        <v>89</v>
      </c>
      <c r="P43" s="149">
        <v>34553.110311462318</v>
      </c>
      <c r="Q43" s="149">
        <v>62506.404371563731</v>
      </c>
      <c r="R43" s="149">
        <v>87403.180869155491</v>
      </c>
      <c r="S43" s="149">
        <v>121156.03676167926</v>
      </c>
      <c r="T43" s="149">
        <v>167302.56383888106</v>
      </c>
      <c r="U43" s="149">
        <v>151956.45490293781</v>
      </c>
      <c r="V43" s="149">
        <v>219475.8765414565</v>
      </c>
      <c r="W43" s="149">
        <v>705142.94172762125</v>
      </c>
      <c r="X43" s="149">
        <v>729753.07089369814</v>
      </c>
      <c r="Y43" s="149">
        <v>799349.47381977411</v>
      </c>
      <c r="Z43" s="149">
        <v>797253.91121956182</v>
      </c>
      <c r="AA43" s="149">
        <v>773909.45322839031</v>
      </c>
      <c r="AB43" s="149">
        <v>1003835.2051476613</v>
      </c>
      <c r="AC43" s="149">
        <v>1159455.1409063432</v>
      </c>
      <c r="AD43" s="149">
        <v>1305730.9468419061</v>
      </c>
      <c r="AE43" s="149">
        <v>1680262.0973122581</v>
      </c>
      <c r="AF43" s="149">
        <v>1665171.569672842</v>
      </c>
      <c r="AG43" s="149">
        <v>2042148.7674479864</v>
      </c>
      <c r="AH43" s="149">
        <v>2269129.8610122325</v>
      </c>
      <c r="AI43" s="149">
        <v>2320179.8647886869</v>
      </c>
      <c r="AJ43" s="149">
        <v>2660523.6638995968</v>
      </c>
      <c r="AK43" s="149">
        <v>3218061.7822528905</v>
      </c>
      <c r="AL43" s="149">
        <v>4035322.7025602078</v>
      </c>
      <c r="AM43" s="149">
        <v>3027634.5796645321</v>
      </c>
      <c r="AN43" s="149">
        <v>3119002.8364897296</v>
      </c>
      <c r="AO43" s="149">
        <v>3073450.4624095657</v>
      </c>
      <c r="AP43" s="149">
        <v>3455601.7711769324</v>
      </c>
      <c r="AQ43" s="149">
        <v>4033405.6113856314</v>
      </c>
      <c r="AR43" s="149">
        <v>4225707.166728057</v>
      </c>
      <c r="AS43" s="149">
        <v>4444375.2461842466</v>
      </c>
      <c r="AT43" s="149">
        <v>4627592.3028508043</v>
      </c>
      <c r="AU43" s="149">
        <v>5127677.1258318732</v>
      </c>
      <c r="AV43" s="149">
        <v>5964530.7624130342</v>
      </c>
      <c r="AW43" s="149">
        <v>7917966.3886586977</v>
      </c>
      <c r="AX43" s="149">
        <v>10557491.577138534</v>
      </c>
      <c r="AY43" s="149">
        <v>12411098.838596988</v>
      </c>
      <c r="AZ43" s="149">
        <v>13190837.335823355</v>
      </c>
      <c r="BA43" s="149">
        <v>14245496.994788721</v>
      </c>
      <c r="BB43" s="149">
        <v>13707594.406075556</v>
      </c>
      <c r="BC43" s="149">
        <v>12569167.665456412</v>
      </c>
      <c r="BD43" s="149">
        <v>11924714.236646451</v>
      </c>
      <c r="BE43" s="149">
        <v>14908381.683847465</v>
      </c>
      <c r="BF43" s="149">
        <v>18022363.284843501</v>
      </c>
      <c r="BG43" s="149">
        <v>17125651.172602333</v>
      </c>
      <c r="BH43" s="149">
        <v>16962063.652072985</v>
      </c>
    </row>
    <row r="44" spans="1:64" x14ac:dyDescent="0.3">
      <c r="C44" s="84"/>
      <c r="H44" s="84"/>
      <c r="I44" s="84"/>
      <c r="O44" s="153" t="s">
        <v>90</v>
      </c>
      <c r="P44" s="154">
        <v>26202.365736136082</v>
      </c>
      <c r="Q44" s="154">
        <v>47491.433986450589</v>
      </c>
      <c r="R44" s="154">
        <v>64474.291758617408</v>
      </c>
      <c r="S44" s="154">
        <v>75985.806801524421</v>
      </c>
      <c r="T44" s="154">
        <v>85700.351839203053</v>
      </c>
      <c r="U44" s="154">
        <v>131656.34405069836</v>
      </c>
      <c r="V44" s="154">
        <v>156317.89349051012</v>
      </c>
      <c r="W44" s="154">
        <v>499770.3274422476</v>
      </c>
      <c r="X44" s="149">
        <v>440278.22434020881</v>
      </c>
      <c r="Y44" s="149">
        <v>498642.73287408159</v>
      </c>
      <c r="Z44" s="149">
        <v>492766.27085664385</v>
      </c>
      <c r="AA44" s="154">
        <v>547710.62942499283</v>
      </c>
      <c r="AB44" s="154">
        <v>581508.38715791935</v>
      </c>
      <c r="AC44" s="154">
        <v>761219.15435820934</v>
      </c>
      <c r="AD44" s="154">
        <v>851090.70409868576</v>
      </c>
      <c r="AE44" s="154">
        <v>928436.95349863335</v>
      </c>
      <c r="AF44" s="154">
        <v>942871.09125948977</v>
      </c>
      <c r="AG44" s="154">
        <v>908803.13079010812</v>
      </c>
      <c r="AH44" s="154">
        <v>1171252.1715837759</v>
      </c>
      <c r="AI44" s="154">
        <v>1020366.4411084347</v>
      </c>
      <c r="AJ44" s="154">
        <v>1260221.157200862</v>
      </c>
      <c r="AK44" s="154">
        <v>1511288.7468626159</v>
      </c>
      <c r="AL44" s="154">
        <v>2049771.4559640961</v>
      </c>
      <c r="AM44" s="154">
        <v>2455708.5247515384</v>
      </c>
      <c r="AN44" s="154">
        <v>2422975.4991805768</v>
      </c>
      <c r="AO44" s="154">
        <v>2736726.147415583</v>
      </c>
      <c r="AP44" s="154">
        <v>3840889.1270825113</v>
      </c>
      <c r="AQ44" s="154">
        <v>4318966.7477350608</v>
      </c>
      <c r="AR44" s="154">
        <v>3803025.4800461726</v>
      </c>
      <c r="AS44" s="154">
        <v>3829359.1238748687</v>
      </c>
      <c r="AT44" s="154">
        <v>4760525.1309032273</v>
      </c>
      <c r="AU44" s="154">
        <v>5461958.1193673741</v>
      </c>
      <c r="AV44" s="154">
        <v>5321691.6411137581</v>
      </c>
      <c r="AW44" s="154">
        <v>6240838.7085521473</v>
      </c>
      <c r="AX44" s="154">
        <v>6795026.5676369779</v>
      </c>
      <c r="AY44" s="154">
        <v>6461664.639353008</v>
      </c>
      <c r="AZ44" s="154">
        <v>6888440.9735648278</v>
      </c>
      <c r="BA44" s="154">
        <v>7240730.181876054</v>
      </c>
      <c r="BB44" s="154">
        <v>6423992.9328970611</v>
      </c>
      <c r="BC44" s="154">
        <v>6861367.1323216539</v>
      </c>
      <c r="BD44" s="154">
        <v>8992829.0861617588</v>
      </c>
      <c r="BE44" s="154">
        <v>9448089.2378487065</v>
      </c>
      <c r="BF44" s="154">
        <v>7950439.0863902476</v>
      </c>
      <c r="BG44" s="154">
        <v>8664870.1555187609</v>
      </c>
      <c r="BH44" s="154">
        <v>8394890.4177615661</v>
      </c>
    </row>
    <row r="45" spans="1:64" x14ac:dyDescent="0.3">
      <c r="C45" s="84"/>
      <c r="D45" s="84"/>
      <c r="E45" s="84"/>
      <c r="F45" s="84"/>
      <c r="G45" s="84"/>
      <c r="H45" s="84"/>
      <c r="I45" s="84"/>
      <c r="O45" s="155" t="s">
        <v>91</v>
      </c>
      <c r="P45" s="147">
        <v>38747.740082038275</v>
      </c>
      <c r="Q45" s="147">
        <v>70671.96977011174</v>
      </c>
      <c r="R45" s="147">
        <v>104251.55166764707</v>
      </c>
      <c r="S45" s="147">
        <v>128028.7584650639</v>
      </c>
      <c r="T45" s="147">
        <v>197027.82864891319</v>
      </c>
      <c r="U45" s="147">
        <v>258395.83127651361</v>
      </c>
      <c r="V45" s="147">
        <v>342744.44900195155</v>
      </c>
      <c r="W45" s="147">
        <v>593540.95340435987</v>
      </c>
      <c r="X45" s="147">
        <v>714842.32737670233</v>
      </c>
      <c r="Y45" s="147">
        <v>644414.21009676019</v>
      </c>
      <c r="Z45" s="147">
        <v>739724.12823624362</v>
      </c>
      <c r="AA45" s="147">
        <v>1010582.6992009183</v>
      </c>
      <c r="AB45" s="147">
        <v>1325271.8086847076</v>
      </c>
      <c r="AC45" s="147">
        <v>1346942.2122355888</v>
      </c>
      <c r="AD45" s="147">
        <v>1585399.0242568224</v>
      </c>
      <c r="AE45" s="147">
        <v>1858062.8345217463</v>
      </c>
      <c r="AF45" s="147">
        <v>1814068.9917145243</v>
      </c>
      <c r="AG45" s="147">
        <v>2234376.429891469</v>
      </c>
      <c r="AH45" s="147">
        <v>1573466.1054564081</v>
      </c>
      <c r="AI45" s="147">
        <v>1593775.2166515763</v>
      </c>
      <c r="AJ45" s="147">
        <v>1785519.9773464156</v>
      </c>
      <c r="AK45" s="147">
        <v>1699624.8218745238</v>
      </c>
      <c r="AL45" s="147">
        <v>1909353.4071816832</v>
      </c>
      <c r="AM45" s="147">
        <v>1771867.7504807129</v>
      </c>
      <c r="AN45" s="147">
        <v>1655397.5702174187</v>
      </c>
      <c r="AO45" s="147">
        <v>1880047.911153048</v>
      </c>
      <c r="AP45" s="147">
        <v>1829323.1647693308</v>
      </c>
      <c r="AQ45" s="147">
        <v>2077491.9004675737</v>
      </c>
      <c r="AR45" s="147">
        <v>2489139.3130806535</v>
      </c>
      <c r="AS45" s="147">
        <v>2490296.4784428785</v>
      </c>
      <c r="AT45" s="147">
        <v>2846387.8801323976</v>
      </c>
      <c r="AU45" s="147">
        <v>2939206.444817889</v>
      </c>
      <c r="AV45" s="147">
        <v>3162955.7447302253</v>
      </c>
      <c r="AW45" s="147">
        <v>3520579.1840229332</v>
      </c>
      <c r="AX45" s="147">
        <v>4507555.0289899474</v>
      </c>
      <c r="AY45" s="147">
        <v>4065841.6549782711</v>
      </c>
      <c r="AZ45" s="147">
        <v>4528001.5152780563</v>
      </c>
      <c r="BA45" s="147">
        <v>4238675.773880532</v>
      </c>
      <c r="BB45" s="147">
        <v>4976939.1902302168</v>
      </c>
      <c r="BC45" s="147">
        <v>4653796.8514874289</v>
      </c>
      <c r="BD45" s="147">
        <v>4920853.0807208149</v>
      </c>
      <c r="BE45" s="147">
        <v>4944470.6735568158</v>
      </c>
      <c r="BF45" s="147">
        <v>5504597.8787192237</v>
      </c>
      <c r="BG45" s="147">
        <v>6194927.7619546428</v>
      </c>
      <c r="BH45" s="147">
        <v>6756931.9261238538</v>
      </c>
    </row>
    <row r="46" spans="1:64" x14ac:dyDescent="0.3">
      <c r="I46" s="84"/>
      <c r="O46" s="92" t="s">
        <v>92</v>
      </c>
      <c r="P46" s="156">
        <f>AVERAGE(P36:P45)</f>
        <v>32811.868443635874</v>
      </c>
      <c r="Q46" s="156">
        <f t="shared" ref="Q46:BH46" si="18">AVERAGE(Q36:Q45)</f>
        <v>53479.692230717672</v>
      </c>
      <c r="R46" s="156">
        <f t="shared" si="18"/>
        <v>82598.724693465236</v>
      </c>
      <c r="S46" s="156">
        <f t="shared" si="18"/>
        <v>106885.84431245003</v>
      </c>
      <c r="T46" s="156">
        <f t="shared" si="18"/>
        <v>153912.36728035746</v>
      </c>
      <c r="U46" s="156">
        <f t="shared" si="18"/>
        <v>194470.79521949688</v>
      </c>
      <c r="V46" s="156">
        <f t="shared" si="18"/>
        <v>261580.31654936037</v>
      </c>
      <c r="W46" s="156">
        <f t="shared" si="18"/>
        <v>703236.01437118289</v>
      </c>
      <c r="X46" s="156">
        <f t="shared" si="18"/>
        <v>859507.98413231759</v>
      </c>
      <c r="Y46" s="156">
        <f t="shared" si="18"/>
        <v>966032.02860130346</v>
      </c>
      <c r="Z46" s="156">
        <f t="shared" si="18"/>
        <v>1074413.4135826814</v>
      </c>
      <c r="AA46" s="156">
        <f t="shared" si="18"/>
        <v>1231755.9097507962</v>
      </c>
      <c r="AB46" s="156">
        <f t="shared" si="18"/>
        <v>1417354.2539638826</v>
      </c>
      <c r="AC46" s="156">
        <f t="shared" si="18"/>
        <v>1620028.7975467276</v>
      </c>
      <c r="AD46" s="156">
        <f t="shared" si="18"/>
        <v>1918851.5557726391</v>
      </c>
      <c r="AE46" s="156">
        <f t="shared" si="18"/>
        <v>2177765.6458217716</v>
      </c>
      <c r="AF46" s="156">
        <f t="shared" si="18"/>
        <v>2282372.2708790423</v>
      </c>
      <c r="AG46" s="156">
        <f t="shared" si="18"/>
        <v>2601500.8070669277</v>
      </c>
      <c r="AH46" s="156">
        <f t="shared" si="18"/>
        <v>2759588.5981652867</v>
      </c>
      <c r="AI46" s="156">
        <f t="shared" si="18"/>
        <v>2741893.0674521108</v>
      </c>
      <c r="AJ46" s="156">
        <f t="shared" si="18"/>
        <v>2854367.6745856619</v>
      </c>
      <c r="AK46" s="156">
        <f t="shared" si="18"/>
        <v>3283904.1729581673</v>
      </c>
      <c r="AL46" s="156">
        <f t="shared" si="18"/>
        <v>4087889.1255751885</v>
      </c>
      <c r="AM46" s="156">
        <f t="shared" si="18"/>
        <v>4271354.8030826831</v>
      </c>
      <c r="AN46" s="156">
        <f t="shared" si="18"/>
        <v>4806774.6546140034</v>
      </c>
      <c r="AO46" s="156">
        <f t="shared" si="18"/>
        <v>5289650.1551333489</v>
      </c>
      <c r="AP46" s="156">
        <f t="shared" si="18"/>
        <v>5982770.5654453766</v>
      </c>
      <c r="AQ46" s="156">
        <f t="shared" si="18"/>
        <v>6714151.6814073194</v>
      </c>
      <c r="AR46" s="156">
        <f t="shared" si="18"/>
        <v>7554410.7539234404</v>
      </c>
      <c r="AS46" s="156">
        <f t="shared" si="18"/>
        <v>8133243.0971893668</v>
      </c>
      <c r="AT46" s="156">
        <f t="shared" si="18"/>
        <v>8501114.9479672443</v>
      </c>
      <c r="AU46" s="156">
        <f t="shared" si="18"/>
        <v>9426101.3185044304</v>
      </c>
      <c r="AV46" s="156">
        <f t="shared" si="18"/>
        <v>10007344.655433919</v>
      </c>
      <c r="AW46" s="156">
        <f t="shared" si="18"/>
        <v>10452760.416717155</v>
      </c>
      <c r="AX46" s="156">
        <f t="shared" si="18"/>
        <v>11919646.237481929</v>
      </c>
      <c r="AY46" s="156">
        <f t="shared" si="18"/>
        <v>12510504.910910588</v>
      </c>
      <c r="AZ46" s="156">
        <f t="shared" si="18"/>
        <v>13991139.463466471</v>
      </c>
      <c r="BA46" s="156">
        <f t="shared" si="18"/>
        <v>16282384.295674402</v>
      </c>
      <c r="BB46" s="156">
        <f t="shared" si="18"/>
        <v>17354781.180024259</v>
      </c>
      <c r="BC46" s="156">
        <f t="shared" si="18"/>
        <v>18426931.518599782</v>
      </c>
      <c r="BD46" s="156">
        <f t="shared" si="18"/>
        <v>20558901.157759242</v>
      </c>
      <c r="BE46" s="156">
        <f t="shared" si="18"/>
        <v>24009559.02887693</v>
      </c>
      <c r="BF46" s="156">
        <f t="shared" si="18"/>
        <v>26315869.428119097</v>
      </c>
      <c r="BG46" s="156">
        <f t="shared" si="18"/>
        <v>30331321.501072891</v>
      </c>
      <c r="BH46" s="156">
        <f t="shared" si="18"/>
        <v>34957152.239144996</v>
      </c>
    </row>
    <row r="47" spans="1:64" x14ac:dyDescent="0.3">
      <c r="F47" s="84"/>
      <c r="G47" s="84"/>
      <c r="H47" s="84"/>
      <c r="I47" s="84"/>
      <c r="M47" s="84"/>
      <c r="N47" s="84"/>
      <c r="BI47" s="84"/>
      <c r="BJ47" s="84"/>
      <c r="BK47" s="84"/>
      <c r="BL47" s="84"/>
    </row>
    <row r="48" spans="1:64" x14ac:dyDescent="0.3">
      <c r="F48" s="84"/>
      <c r="G48" s="84"/>
      <c r="H48" s="84"/>
      <c r="I48" s="84"/>
      <c r="M48" s="84"/>
      <c r="N48" s="84"/>
      <c r="O48" s="92"/>
      <c r="BI48" s="84"/>
      <c r="BJ48" s="84"/>
      <c r="BK48" s="84"/>
      <c r="BL48" s="84"/>
    </row>
    <row r="49" spans="2:64" x14ac:dyDescent="0.3">
      <c r="C49" s="157"/>
      <c r="F49" s="158"/>
      <c r="G49" s="84"/>
      <c r="H49" s="84"/>
      <c r="I49" s="84"/>
      <c r="M49" s="139"/>
      <c r="N49" s="84"/>
      <c r="BI49" s="84"/>
      <c r="BJ49" s="84"/>
      <c r="BK49" s="84"/>
      <c r="BL49" s="84"/>
    </row>
    <row r="50" spans="2:64" x14ac:dyDescent="0.3">
      <c r="B50" s="130"/>
      <c r="C50" s="130"/>
      <c r="D50" s="159"/>
      <c r="F50" s="84"/>
      <c r="G50" s="139"/>
      <c r="H50" s="139"/>
      <c r="I50" s="139"/>
      <c r="J50" s="139"/>
      <c r="K50" s="139"/>
      <c r="L50" s="139"/>
      <c r="M50" s="139"/>
      <c r="N50" s="160"/>
      <c r="BI50" s="84"/>
      <c r="BJ50" s="84"/>
      <c r="BK50" s="84"/>
      <c r="BL50" s="84"/>
    </row>
    <row r="51" spans="2:64" x14ac:dyDescent="0.3">
      <c r="B51" s="130"/>
      <c r="C51" s="130"/>
      <c r="D51" s="159"/>
      <c r="F51" s="84"/>
      <c r="G51" s="139"/>
      <c r="H51" s="139"/>
      <c r="I51" s="139"/>
      <c r="J51" s="139"/>
      <c r="K51" s="139"/>
      <c r="L51" s="139"/>
      <c r="M51" s="139"/>
      <c r="N51" s="160"/>
      <c r="BI51" s="84"/>
      <c r="BJ51" s="84"/>
      <c r="BK51" s="84"/>
      <c r="BL51" s="84"/>
    </row>
    <row r="52" spans="2:64" x14ac:dyDescent="0.3">
      <c r="B52" s="130"/>
      <c r="C52" s="130"/>
      <c r="D52" s="159"/>
      <c r="F52" s="84"/>
      <c r="G52" s="139"/>
      <c r="H52" s="139"/>
      <c r="I52" s="139"/>
      <c r="J52" s="139"/>
      <c r="K52" s="139"/>
      <c r="L52" s="139"/>
      <c r="M52" s="139"/>
      <c r="N52" s="160"/>
      <c r="BI52" s="84"/>
      <c r="BJ52" s="84"/>
      <c r="BK52" s="84"/>
      <c r="BL52" s="84"/>
    </row>
    <row r="53" spans="2:64" x14ac:dyDescent="0.3">
      <c r="B53" s="130"/>
      <c r="C53" s="130"/>
      <c r="D53" s="159"/>
      <c r="F53" s="84"/>
      <c r="G53" s="139"/>
      <c r="H53" s="139"/>
      <c r="I53" s="139"/>
      <c r="J53" s="139"/>
      <c r="K53" s="139"/>
      <c r="L53" s="139"/>
      <c r="M53" s="139"/>
      <c r="N53" s="160"/>
      <c r="BI53" s="84"/>
      <c r="BJ53" s="84"/>
      <c r="BK53" s="84"/>
      <c r="BL53" s="84"/>
    </row>
    <row r="54" spans="2:64" x14ac:dyDescent="0.3">
      <c r="B54" s="130"/>
      <c r="C54" s="130"/>
      <c r="D54" s="159"/>
      <c r="F54" s="84"/>
      <c r="G54" s="139"/>
      <c r="H54" s="139"/>
      <c r="I54" s="139"/>
      <c r="J54" s="139"/>
      <c r="K54" s="139"/>
      <c r="L54" s="139"/>
      <c r="M54" s="139"/>
      <c r="N54" s="160"/>
      <c r="O54" s="139"/>
      <c r="P54" s="139"/>
      <c r="Q54" s="139"/>
      <c r="R54" s="139"/>
      <c r="S54" s="139"/>
      <c r="T54" s="160"/>
      <c r="U54" s="161"/>
      <c r="V54" s="84"/>
      <c r="W54" s="162"/>
      <c r="X54" s="162"/>
      <c r="Y54" s="162"/>
      <c r="Z54" s="162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</row>
    <row r="55" spans="2:64" x14ac:dyDescent="0.3">
      <c r="B55" s="130"/>
      <c r="C55" s="130"/>
      <c r="D55" s="159"/>
      <c r="F55" s="84"/>
      <c r="G55" s="139"/>
      <c r="H55" s="139"/>
      <c r="I55" s="139"/>
      <c r="J55" s="139"/>
      <c r="K55" s="139"/>
      <c r="L55" s="139"/>
      <c r="M55" s="139"/>
      <c r="N55" s="160"/>
      <c r="O55" s="139"/>
      <c r="P55" s="139"/>
      <c r="Q55" s="139"/>
      <c r="R55" s="139"/>
      <c r="S55" s="139"/>
      <c r="T55" s="160"/>
      <c r="U55" s="161"/>
      <c r="V55" s="84"/>
      <c r="W55" s="163"/>
      <c r="X55" s="162"/>
      <c r="Y55" s="162"/>
      <c r="Z55" s="162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</row>
    <row r="56" spans="2:64" x14ac:dyDescent="0.3">
      <c r="B56" s="130"/>
      <c r="C56" s="130"/>
      <c r="D56" s="159"/>
      <c r="F56" s="84"/>
      <c r="G56" s="139"/>
      <c r="H56" s="139"/>
      <c r="I56" s="139"/>
      <c r="J56" s="139"/>
      <c r="K56" s="139"/>
      <c r="L56" s="139"/>
      <c r="M56" s="139"/>
      <c r="N56" s="160"/>
      <c r="O56" s="139"/>
      <c r="P56" s="139"/>
      <c r="Q56" s="139"/>
      <c r="R56" s="139"/>
      <c r="S56" s="139"/>
      <c r="T56" s="160"/>
      <c r="U56" s="161"/>
      <c r="V56" s="84"/>
      <c r="W56" s="162"/>
      <c r="X56" s="162"/>
      <c r="Y56" s="162"/>
      <c r="Z56" s="162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</row>
    <row r="57" spans="2:64" x14ac:dyDescent="0.3">
      <c r="B57" s="130"/>
      <c r="C57" s="130"/>
      <c r="D57" s="159"/>
      <c r="F57" s="84"/>
      <c r="G57" s="139"/>
      <c r="H57" s="139"/>
      <c r="I57" s="139"/>
      <c r="J57" s="139"/>
      <c r="K57" s="139"/>
      <c r="L57" s="139"/>
      <c r="M57" s="139"/>
      <c r="N57" s="160"/>
      <c r="O57" s="139"/>
      <c r="P57" s="139"/>
      <c r="Q57" s="139"/>
      <c r="R57" s="139"/>
      <c r="S57" s="139"/>
      <c r="T57" s="160"/>
      <c r="U57" s="161"/>
      <c r="V57" s="84"/>
      <c r="W57" s="162"/>
      <c r="X57" s="162"/>
      <c r="Y57" s="162"/>
      <c r="Z57" s="162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</row>
    <row r="58" spans="2:64" x14ac:dyDescent="0.3">
      <c r="B58" s="130"/>
      <c r="C58" s="130"/>
      <c r="D58" s="159"/>
      <c r="F58" s="84"/>
      <c r="G58" s="139"/>
      <c r="H58" s="139"/>
      <c r="I58" s="139"/>
      <c r="J58" s="139"/>
      <c r="K58" s="139"/>
      <c r="L58" s="139"/>
      <c r="M58" s="139"/>
      <c r="N58" s="160"/>
      <c r="O58" s="139"/>
      <c r="P58" s="139"/>
      <c r="Q58" s="139"/>
      <c r="R58" s="139"/>
      <c r="S58" s="139"/>
      <c r="T58" s="160"/>
      <c r="U58" s="161"/>
      <c r="V58" s="84"/>
      <c r="W58" s="162"/>
      <c r="X58" s="162"/>
      <c r="Y58" s="162"/>
      <c r="Z58" s="162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</row>
    <row r="59" spans="2:64" x14ac:dyDescent="0.3">
      <c r="B59" s="130"/>
      <c r="C59" s="130"/>
      <c r="D59" s="159"/>
      <c r="F59" s="84"/>
      <c r="G59" s="139"/>
      <c r="H59" s="139"/>
      <c r="I59" s="139"/>
      <c r="J59" s="139"/>
      <c r="K59" s="139"/>
      <c r="L59" s="139"/>
      <c r="M59" s="139"/>
      <c r="N59" s="160"/>
      <c r="O59" s="139"/>
      <c r="P59" s="139"/>
      <c r="Q59" s="139"/>
      <c r="R59" s="139"/>
      <c r="S59" s="139"/>
      <c r="T59" s="160"/>
      <c r="U59" s="161"/>
      <c r="V59" s="84"/>
      <c r="W59" s="162"/>
      <c r="X59" s="162"/>
      <c r="Y59" s="162"/>
      <c r="Z59" s="162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</row>
    <row r="60" spans="2:64" x14ac:dyDescent="0.3">
      <c r="B60" s="130"/>
      <c r="C60" s="130"/>
      <c r="D60" s="159"/>
      <c r="F60" s="84"/>
      <c r="G60" s="139"/>
      <c r="H60" s="139"/>
      <c r="I60" s="139"/>
      <c r="J60" s="139"/>
      <c r="K60" s="139"/>
      <c r="L60" s="139"/>
      <c r="M60" s="139"/>
      <c r="N60" s="160"/>
      <c r="O60" s="139"/>
      <c r="P60" s="139"/>
      <c r="Q60" s="139"/>
      <c r="R60" s="139"/>
      <c r="S60" s="139"/>
      <c r="T60" s="160"/>
      <c r="U60" s="161"/>
      <c r="V60" s="84"/>
      <c r="W60" s="162"/>
      <c r="X60" s="162"/>
      <c r="Y60" s="162"/>
      <c r="Z60" s="162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4"/>
      <c r="BK60" s="84"/>
      <c r="BL60" s="84"/>
    </row>
    <row r="61" spans="2:64" x14ac:dyDescent="0.3">
      <c r="B61" s="130"/>
      <c r="C61" s="130"/>
      <c r="D61" s="159"/>
      <c r="F61" s="84"/>
      <c r="G61" s="139"/>
      <c r="H61" s="139"/>
      <c r="I61" s="139"/>
      <c r="J61" s="139"/>
      <c r="K61" s="139"/>
      <c r="L61" s="139"/>
      <c r="M61" s="139"/>
      <c r="N61" s="160"/>
      <c r="O61" s="139"/>
      <c r="P61" s="139"/>
      <c r="Q61" s="139"/>
      <c r="R61" s="139"/>
      <c r="S61" s="139"/>
      <c r="T61" s="160"/>
      <c r="U61" s="161"/>
      <c r="V61" s="84"/>
      <c r="W61" s="162"/>
      <c r="X61" s="162"/>
      <c r="Y61" s="162"/>
      <c r="Z61" s="162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</row>
    <row r="62" spans="2:64" x14ac:dyDescent="0.3">
      <c r="B62" s="130"/>
      <c r="C62" s="130"/>
      <c r="D62" s="159"/>
      <c r="F62" s="84"/>
      <c r="G62" s="139"/>
      <c r="H62" s="139"/>
      <c r="I62" s="139"/>
      <c r="J62" s="139"/>
      <c r="K62" s="139"/>
      <c r="L62" s="139"/>
      <c r="M62" s="139"/>
      <c r="N62" s="160"/>
      <c r="O62" s="139"/>
      <c r="P62" s="139"/>
      <c r="Q62" s="139"/>
      <c r="R62" s="139"/>
      <c r="S62" s="139"/>
      <c r="T62" s="160"/>
      <c r="U62" s="161"/>
      <c r="V62" s="84"/>
      <c r="W62" s="162"/>
      <c r="X62" s="162"/>
      <c r="Y62" s="162"/>
      <c r="Z62" s="162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</row>
    <row r="63" spans="2:64" x14ac:dyDescent="0.3">
      <c r="B63" s="130"/>
      <c r="C63" s="130"/>
      <c r="D63" s="159"/>
      <c r="F63" s="84"/>
      <c r="G63" s="139"/>
      <c r="H63" s="139"/>
      <c r="I63" s="139"/>
      <c r="J63" s="139"/>
      <c r="K63" s="139"/>
      <c r="L63" s="139"/>
      <c r="M63" s="139"/>
      <c r="N63" s="160"/>
      <c r="O63" s="139"/>
      <c r="P63" s="139"/>
      <c r="Q63" s="139"/>
      <c r="R63" s="139"/>
      <c r="S63" s="139"/>
      <c r="T63" s="160"/>
      <c r="U63" s="161"/>
      <c r="V63" s="84"/>
      <c r="W63" s="162"/>
      <c r="X63" s="162"/>
      <c r="Y63" s="162"/>
      <c r="Z63" s="162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84"/>
      <c r="BD63" s="84"/>
      <c r="BE63" s="84"/>
      <c r="BF63" s="84"/>
      <c r="BG63" s="84"/>
      <c r="BH63" s="84"/>
      <c r="BI63" s="84"/>
      <c r="BJ63" s="84"/>
      <c r="BK63" s="84"/>
      <c r="BL63" s="84"/>
    </row>
    <row r="64" spans="2:64" x14ac:dyDescent="0.3">
      <c r="B64" s="130"/>
      <c r="C64" s="130"/>
      <c r="D64" s="159"/>
      <c r="F64" s="84"/>
      <c r="G64" s="139"/>
      <c r="H64" s="139"/>
      <c r="I64" s="139"/>
      <c r="J64" s="139"/>
      <c r="K64" s="139"/>
      <c r="L64" s="139"/>
      <c r="M64" s="139"/>
      <c r="N64" s="160"/>
      <c r="O64" s="139"/>
      <c r="P64" s="139"/>
      <c r="Q64" s="139"/>
      <c r="R64" s="139"/>
      <c r="S64" s="139"/>
      <c r="T64" s="160"/>
      <c r="U64" s="161"/>
      <c r="V64" s="84"/>
      <c r="W64" s="162"/>
      <c r="X64" s="162"/>
      <c r="Y64" s="162"/>
      <c r="Z64" s="162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84"/>
      <c r="BD64" s="84"/>
      <c r="BE64" s="84"/>
      <c r="BF64" s="84"/>
      <c r="BG64" s="84"/>
      <c r="BH64" s="84"/>
      <c r="BI64" s="84"/>
      <c r="BJ64" s="84"/>
      <c r="BK64" s="84"/>
      <c r="BL64" s="84"/>
    </row>
    <row r="65" spans="2:64" x14ac:dyDescent="0.3">
      <c r="B65" s="130"/>
      <c r="C65" s="130"/>
      <c r="D65" s="159"/>
      <c r="F65" s="84"/>
      <c r="G65" s="139"/>
      <c r="H65" s="139"/>
      <c r="I65" s="139"/>
      <c r="J65" s="139"/>
      <c r="K65" s="139"/>
      <c r="L65" s="139"/>
      <c r="M65" s="139"/>
      <c r="N65" s="160"/>
      <c r="O65" s="139"/>
      <c r="P65" s="139"/>
      <c r="Q65" s="139"/>
      <c r="R65" s="139"/>
      <c r="S65" s="139"/>
      <c r="T65" s="160"/>
      <c r="U65" s="161"/>
      <c r="V65" s="84"/>
      <c r="W65" s="162"/>
      <c r="X65" s="162"/>
      <c r="Y65" s="162"/>
      <c r="Z65" s="162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84"/>
      <c r="BD65" s="84"/>
      <c r="BE65" s="84"/>
      <c r="BF65" s="84"/>
      <c r="BG65" s="84"/>
      <c r="BH65" s="84"/>
      <c r="BI65" s="84"/>
      <c r="BJ65" s="84"/>
      <c r="BK65" s="84"/>
      <c r="BL65" s="84"/>
    </row>
    <row r="66" spans="2:64" x14ac:dyDescent="0.3">
      <c r="B66" s="130"/>
      <c r="C66" s="130"/>
      <c r="D66" s="159"/>
      <c r="F66" s="84"/>
      <c r="G66" s="139"/>
      <c r="H66" s="139"/>
      <c r="I66" s="139"/>
      <c r="J66" s="139"/>
      <c r="K66" s="139"/>
      <c r="L66" s="139"/>
      <c r="M66" s="139"/>
      <c r="N66" s="160"/>
      <c r="O66" s="139"/>
      <c r="P66" s="139"/>
      <c r="Q66" s="139"/>
      <c r="R66" s="139"/>
      <c r="S66" s="139"/>
      <c r="T66" s="160"/>
      <c r="U66" s="161"/>
      <c r="V66" s="84"/>
      <c r="W66" s="162"/>
      <c r="X66" s="162"/>
      <c r="Y66" s="162"/>
      <c r="Z66" s="162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</row>
    <row r="67" spans="2:64" x14ac:dyDescent="0.3">
      <c r="B67" s="130"/>
      <c r="C67" s="130"/>
      <c r="D67" s="159"/>
      <c r="F67" s="84"/>
      <c r="G67" s="139"/>
      <c r="H67" s="139"/>
      <c r="I67" s="139"/>
      <c r="J67" s="139"/>
      <c r="K67" s="139"/>
      <c r="L67" s="139"/>
      <c r="M67" s="139"/>
      <c r="N67" s="160"/>
      <c r="O67" s="139"/>
      <c r="P67" s="139"/>
      <c r="Q67" s="139"/>
      <c r="R67" s="139"/>
      <c r="S67" s="139"/>
      <c r="T67" s="160"/>
      <c r="U67" s="161"/>
      <c r="V67" s="84"/>
      <c r="W67" s="162"/>
      <c r="X67" s="162"/>
      <c r="Y67" s="162"/>
      <c r="Z67" s="162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</row>
    <row r="68" spans="2:64" x14ac:dyDescent="0.3">
      <c r="B68" s="130"/>
      <c r="C68" s="130"/>
      <c r="D68" s="159"/>
      <c r="F68" s="84"/>
      <c r="G68" s="139"/>
      <c r="H68" s="139"/>
      <c r="I68" s="139"/>
      <c r="J68" s="139"/>
      <c r="K68" s="139"/>
      <c r="L68" s="139"/>
      <c r="M68" s="139"/>
      <c r="N68" s="160"/>
      <c r="O68" s="139"/>
      <c r="P68" s="139"/>
      <c r="Q68" s="139"/>
      <c r="R68" s="139"/>
      <c r="S68" s="139"/>
      <c r="T68" s="160"/>
      <c r="U68" s="161"/>
      <c r="V68" s="84"/>
      <c r="W68" s="162"/>
      <c r="X68" s="162"/>
      <c r="Y68" s="162"/>
      <c r="Z68" s="162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</row>
    <row r="69" spans="2:64" x14ac:dyDescent="0.3">
      <c r="B69" s="130"/>
      <c r="C69" s="130"/>
      <c r="D69" s="159"/>
      <c r="F69" s="84"/>
      <c r="G69" s="139"/>
      <c r="H69" s="139"/>
      <c r="I69" s="139"/>
      <c r="J69" s="139"/>
      <c r="K69" s="139"/>
      <c r="L69" s="139"/>
      <c r="M69" s="139"/>
      <c r="N69" s="160"/>
      <c r="O69" s="139"/>
      <c r="P69" s="139"/>
      <c r="Q69" s="139"/>
      <c r="R69" s="139"/>
      <c r="S69" s="139"/>
      <c r="T69" s="160"/>
      <c r="U69" s="161"/>
      <c r="V69" s="84"/>
      <c r="W69" s="162"/>
      <c r="X69" s="162"/>
      <c r="Y69" s="162"/>
      <c r="Z69" s="162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</row>
    <row r="70" spans="2:64" x14ac:dyDescent="0.3">
      <c r="B70" s="130"/>
      <c r="C70" s="130"/>
      <c r="D70" s="159"/>
      <c r="F70" s="84"/>
      <c r="G70" s="139"/>
      <c r="H70" s="139"/>
      <c r="I70" s="139"/>
      <c r="J70" s="139"/>
      <c r="K70" s="139"/>
      <c r="L70" s="139"/>
      <c r="M70" s="139"/>
      <c r="N70" s="160"/>
      <c r="O70" s="139"/>
      <c r="P70" s="139"/>
      <c r="Q70" s="139"/>
      <c r="R70" s="139"/>
      <c r="S70" s="139"/>
      <c r="T70" s="160"/>
      <c r="U70" s="161"/>
      <c r="V70" s="84"/>
      <c r="W70" s="162"/>
      <c r="X70" s="162"/>
      <c r="Y70" s="162"/>
      <c r="Z70" s="162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</row>
    <row r="71" spans="2:64" x14ac:dyDescent="0.3">
      <c r="B71" s="130"/>
      <c r="C71" s="130"/>
      <c r="D71" s="159"/>
      <c r="F71" s="84"/>
      <c r="G71" s="139"/>
      <c r="H71" s="139"/>
      <c r="I71" s="139"/>
      <c r="J71" s="139"/>
      <c r="K71" s="139"/>
      <c r="L71" s="139"/>
      <c r="M71" s="139"/>
      <c r="N71" s="160"/>
      <c r="O71" s="139"/>
      <c r="P71" s="139"/>
      <c r="Q71" s="139"/>
      <c r="R71" s="139"/>
      <c r="S71" s="139"/>
      <c r="T71" s="160"/>
      <c r="U71" s="161"/>
      <c r="V71" s="84"/>
      <c r="W71" s="162"/>
      <c r="X71" s="162"/>
      <c r="Y71" s="162"/>
      <c r="Z71" s="162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</row>
    <row r="72" spans="2:64" x14ac:dyDescent="0.3">
      <c r="B72" s="130"/>
      <c r="C72" s="130"/>
      <c r="D72" s="159"/>
      <c r="F72" s="84"/>
      <c r="G72" s="139"/>
      <c r="H72" s="139"/>
      <c r="I72" s="139"/>
      <c r="J72" s="139"/>
      <c r="K72" s="139"/>
      <c r="L72" s="139"/>
      <c r="M72" s="139"/>
      <c r="N72" s="160"/>
      <c r="O72" s="139"/>
      <c r="P72" s="139"/>
      <c r="Q72" s="139"/>
      <c r="R72" s="139"/>
      <c r="S72" s="139"/>
      <c r="T72" s="160"/>
      <c r="U72" s="161"/>
      <c r="V72" s="84"/>
      <c r="W72" s="162"/>
      <c r="X72" s="162"/>
      <c r="Y72" s="162"/>
      <c r="Z72" s="162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84"/>
      <c r="BD72" s="84"/>
      <c r="BE72" s="84"/>
      <c r="BF72" s="84"/>
      <c r="BG72" s="84"/>
      <c r="BH72" s="84"/>
      <c r="BI72" s="84"/>
      <c r="BJ72" s="84"/>
      <c r="BK72" s="84"/>
      <c r="BL72" s="84"/>
    </row>
    <row r="73" spans="2:64" x14ac:dyDescent="0.3">
      <c r="B73" s="130"/>
      <c r="C73" s="130"/>
      <c r="D73" s="159"/>
      <c r="F73" s="84"/>
      <c r="G73" s="139"/>
      <c r="H73" s="139"/>
      <c r="I73" s="139"/>
      <c r="J73" s="139"/>
      <c r="K73" s="139"/>
      <c r="L73" s="139"/>
      <c r="M73" s="139"/>
      <c r="N73" s="160"/>
      <c r="O73" s="139"/>
      <c r="P73" s="139"/>
      <c r="Q73" s="139"/>
      <c r="R73" s="139"/>
      <c r="S73" s="139"/>
      <c r="T73" s="160"/>
      <c r="U73" s="161"/>
      <c r="V73" s="84"/>
      <c r="W73" s="162"/>
      <c r="X73" s="162"/>
      <c r="Y73" s="162"/>
      <c r="Z73" s="162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</row>
    <row r="74" spans="2:64" x14ac:dyDescent="0.3">
      <c r="B74" s="130"/>
      <c r="C74" s="130"/>
      <c r="D74" s="159"/>
      <c r="F74" s="84"/>
      <c r="G74" s="139"/>
      <c r="H74" s="139"/>
      <c r="I74" s="139"/>
      <c r="J74" s="139"/>
      <c r="K74" s="139"/>
      <c r="L74" s="139"/>
      <c r="M74" s="139"/>
      <c r="N74" s="160"/>
      <c r="O74" s="139"/>
      <c r="P74" s="139"/>
      <c r="Q74" s="139"/>
      <c r="R74" s="139"/>
      <c r="S74" s="139"/>
      <c r="T74" s="160"/>
      <c r="U74" s="161"/>
      <c r="V74" s="84"/>
      <c r="W74" s="162"/>
      <c r="X74" s="162"/>
      <c r="Y74" s="162"/>
      <c r="Z74" s="162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84"/>
      <c r="BH74" s="84"/>
      <c r="BI74" s="84"/>
      <c r="BJ74" s="84"/>
      <c r="BK74" s="84"/>
      <c r="BL74" s="84"/>
    </row>
    <row r="75" spans="2:64" x14ac:dyDescent="0.3">
      <c r="B75" s="130"/>
      <c r="C75" s="130"/>
      <c r="D75" s="159"/>
      <c r="F75" s="84"/>
      <c r="G75" s="139"/>
      <c r="H75" s="139"/>
      <c r="I75" s="139"/>
      <c r="J75" s="139"/>
      <c r="K75" s="139"/>
      <c r="L75" s="139"/>
      <c r="M75" s="139"/>
      <c r="N75" s="160"/>
      <c r="O75" s="139"/>
      <c r="P75" s="139"/>
      <c r="Q75" s="139"/>
      <c r="R75" s="139"/>
      <c r="S75" s="139"/>
      <c r="T75" s="160"/>
      <c r="U75" s="161"/>
      <c r="V75" s="84"/>
      <c r="W75" s="162"/>
      <c r="X75" s="162"/>
      <c r="Y75" s="162"/>
      <c r="Z75" s="162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84"/>
      <c r="BD75" s="84"/>
      <c r="BE75" s="84"/>
      <c r="BF75" s="84"/>
      <c r="BG75" s="84"/>
      <c r="BH75" s="84"/>
      <c r="BI75" s="84"/>
      <c r="BJ75" s="84"/>
      <c r="BK75" s="84"/>
      <c r="BL75" s="84"/>
    </row>
    <row r="76" spans="2:64" x14ac:dyDescent="0.3">
      <c r="B76" s="130"/>
      <c r="C76" s="130"/>
      <c r="D76" s="159"/>
      <c r="F76" s="84"/>
      <c r="G76" s="139"/>
      <c r="H76" s="139"/>
      <c r="I76" s="139"/>
      <c r="J76" s="139"/>
      <c r="K76" s="139"/>
      <c r="L76" s="139"/>
      <c r="M76" s="139"/>
      <c r="N76" s="160"/>
      <c r="O76" s="139"/>
      <c r="P76" s="139"/>
      <c r="Q76" s="139"/>
      <c r="R76" s="139"/>
      <c r="S76" s="139"/>
      <c r="T76" s="160"/>
      <c r="U76" s="161"/>
      <c r="V76" s="84"/>
      <c r="W76" s="162"/>
      <c r="X76" s="162"/>
      <c r="Y76" s="162"/>
      <c r="Z76" s="162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84"/>
      <c r="BH76" s="84"/>
      <c r="BI76" s="84"/>
      <c r="BJ76" s="84"/>
      <c r="BK76" s="84"/>
      <c r="BL76" s="84"/>
    </row>
    <row r="77" spans="2:64" x14ac:dyDescent="0.3">
      <c r="B77" s="130"/>
      <c r="C77" s="130"/>
      <c r="D77" s="159"/>
      <c r="F77" s="84"/>
      <c r="G77" s="139"/>
      <c r="H77" s="139"/>
      <c r="I77" s="139"/>
      <c r="J77" s="139"/>
      <c r="K77" s="139"/>
      <c r="L77" s="139"/>
      <c r="M77" s="139"/>
      <c r="N77" s="160"/>
      <c r="O77" s="139"/>
      <c r="P77" s="139"/>
      <c r="Q77" s="139"/>
      <c r="R77" s="139"/>
      <c r="S77" s="139"/>
      <c r="T77" s="160"/>
      <c r="U77" s="161"/>
      <c r="V77" s="84"/>
      <c r="W77" s="162"/>
      <c r="X77" s="162"/>
      <c r="Y77" s="162"/>
      <c r="Z77" s="162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84"/>
      <c r="BD77" s="84"/>
      <c r="BE77" s="84"/>
      <c r="BF77" s="84"/>
      <c r="BG77" s="84"/>
      <c r="BH77" s="84"/>
      <c r="BI77" s="84"/>
      <c r="BJ77" s="84"/>
      <c r="BK77" s="84"/>
      <c r="BL77" s="84"/>
    </row>
    <row r="78" spans="2:64" x14ac:dyDescent="0.3">
      <c r="B78" s="130"/>
      <c r="C78" s="130"/>
      <c r="D78" s="159"/>
      <c r="F78" s="84"/>
      <c r="G78" s="139"/>
      <c r="H78" s="139"/>
      <c r="I78" s="139"/>
      <c r="J78" s="139"/>
      <c r="K78" s="139"/>
      <c r="L78" s="139"/>
      <c r="M78" s="139"/>
      <c r="N78" s="160"/>
      <c r="O78" s="139"/>
      <c r="P78" s="139"/>
      <c r="Q78" s="139"/>
      <c r="R78" s="139"/>
      <c r="S78" s="139"/>
      <c r="T78" s="160"/>
      <c r="U78" s="161"/>
      <c r="V78" s="84"/>
      <c r="W78" s="162"/>
      <c r="X78" s="162"/>
      <c r="Y78" s="162"/>
      <c r="Z78" s="162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/>
      <c r="BH78" s="84"/>
      <c r="BI78" s="84"/>
      <c r="BJ78" s="84"/>
      <c r="BK78" s="84"/>
      <c r="BL78" s="84"/>
    </row>
    <row r="79" spans="2:64" x14ac:dyDescent="0.3">
      <c r="B79" s="130"/>
      <c r="C79" s="130"/>
      <c r="D79" s="159"/>
      <c r="F79" s="84"/>
      <c r="G79" s="139"/>
      <c r="H79" s="139"/>
      <c r="I79" s="139"/>
      <c r="J79" s="139"/>
      <c r="K79" s="139"/>
      <c r="L79" s="139"/>
      <c r="M79" s="139"/>
      <c r="N79" s="160"/>
      <c r="O79" s="139"/>
      <c r="P79" s="139"/>
      <c r="Q79" s="139"/>
      <c r="R79" s="139"/>
      <c r="S79" s="139"/>
      <c r="T79" s="160"/>
      <c r="U79" s="161"/>
      <c r="V79" s="84"/>
      <c r="W79" s="162"/>
      <c r="X79" s="162"/>
      <c r="Y79" s="162"/>
      <c r="Z79" s="162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84"/>
      <c r="BD79" s="84"/>
      <c r="BE79" s="84"/>
      <c r="BF79" s="84"/>
      <c r="BG79" s="84"/>
      <c r="BH79" s="84"/>
      <c r="BI79" s="84"/>
      <c r="BJ79" s="84"/>
      <c r="BK79" s="84"/>
      <c r="BL79" s="84"/>
    </row>
    <row r="80" spans="2:64" x14ac:dyDescent="0.3">
      <c r="B80" s="130"/>
      <c r="C80" s="130"/>
      <c r="D80" s="159"/>
      <c r="F80" s="84"/>
      <c r="G80" s="139"/>
      <c r="H80" s="139"/>
      <c r="I80" s="139"/>
      <c r="J80" s="139"/>
      <c r="K80" s="139"/>
      <c r="L80" s="139"/>
      <c r="M80" s="139"/>
      <c r="N80" s="160"/>
      <c r="O80" s="139"/>
      <c r="P80" s="139"/>
      <c r="Q80" s="139"/>
      <c r="R80" s="139"/>
      <c r="S80" s="139"/>
      <c r="T80" s="160"/>
      <c r="U80" s="161"/>
      <c r="V80" s="84"/>
      <c r="W80" s="162"/>
      <c r="X80" s="162"/>
      <c r="Y80" s="162"/>
      <c r="Z80" s="162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</row>
    <row r="81" spans="2:64" x14ac:dyDescent="0.3">
      <c r="B81" s="130"/>
      <c r="C81" s="130"/>
      <c r="D81" s="159"/>
      <c r="F81" s="84"/>
      <c r="G81" s="139"/>
      <c r="H81" s="139"/>
      <c r="I81" s="139"/>
      <c r="J81" s="139"/>
      <c r="K81" s="139"/>
      <c r="L81" s="139"/>
      <c r="M81" s="139"/>
      <c r="N81" s="160"/>
      <c r="O81" s="139"/>
      <c r="P81" s="139"/>
      <c r="Q81" s="139"/>
      <c r="R81" s="139"/>
      <c r="S81" s="139"/>
      <c r="T81" s="160"/>
      <c r="U81" s="161"/>
      <c r="V81" s="84"/>
      <c r="W81" s="162"/>
      <c r="X81" s="162"/>
      <c r="Y81" s="162"/>
      <c r="Z81" s="162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</row>
    <row r="82" spans="2:64" x14ac:dyDescent="0.3">
      <c r="B82" s="130"/>
      <c r="C82" s="130"/>
      <c r="D82" s="159"/>
      <c r="F82" s="84"/>
      <c r="G82" s="139"/>
      <c r="H82" s="139"/>
      <c r="I82" s="139"/>
      <c r="J82" s="139"/>
      <c r="K82" s="139"/>
      <c r="L82" s="139"/>
      <c r="M82" s="139"/>
      <c r="N82" s="160"/>
      <c r="O82" s="139"/>
      <c r="P82" s="139"/>
      <c r="Q82" s="139"/>
      <c r="R82" s="139"/>
      <c r="S82" s="139"/>
      <c r="T82" s="160"/>
      <c r="U82" s="161"/>
      <c r="V82" s="84"/>
      <c r="W82" s="162"/>
      <c r="X82" s="162"/>
      <c r="Y82" s="162"/>
      <c r="Z82" s="162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84"/>
      <c r="BD82" s="84"/>
      <c r="BE82" s="84"/>
      <c r="BF82" s="84"/>
      <c r="BG82" s="84"/>
      <c r="BH82" s="84"/>
      <c r="BI82" s="84"/>
      <c r="BJ82" s="84"/>
      <c r="BK82" s="84"/>
      <c r="BL82" s="84"/>
    </row>
    <row r="83" spans="2:64" x14ac:dyDescent="0.3">
      <c r="B83" s="130"/>
      <c r="C83" s="130"/>
      <c r="D83" s="159"/>
      <c r="F83" s="84"/>
      <c r="G83" s="139"/>
      <c r="H83" s="139"/>
      <c r="I83" s="139"/>
      <c r="J83" s="139"/>
      <c r="K83" s="139"/>
      <c r="L83" s="139"/>
      <c r="M83" s="139"/>
      <c r="N83" s="160"/>
      <c r="O83" s="139"/>
      <c r="P83" s="139"/>
      <c r="Q83" s="139"/>
      <c r="R83" s="139"/>
      <c r="S83" s="139"/>
      <c r="T83" s="160"/>
      <c r="U83" s="161"/>
      <c r="V83" s="84"/>
      <c r="W83" s="162"/>
      <c r="X83" s="162"/>
      <c r="Y83" s="162"/>
      <c r="Z83" s="162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84"/>
      <c r="BD83" s="84"/>
      <c r="BE83" s="84"/>
      <c r="BF83" s="84"/>
      <c r="BG83" s="84"/>
      <c r="BH83" s="84"/>
      <c r="BI83" s="84"/>
      <c r="BJ83" s="84"/>
      <c r="BK83" s="84"/>
      <c r="BL83" s="84"/>
    </row>
    <row r="84" spans="2:64" x14ac:dyDescent="0.3">
      <c r="B84" s="130"/>
      <c r="C84" s="130"/>
      <c r="D84" s="159"/>
      <c r="F84" s="84"/>
      <c r="G84" s="139"/>
      <c r="H84" s="139"/>
      <c r="I84" s="139"/>
      <c r="J84" s="139"/>
      <c r="K84" s="139"/>
      <c r="L84" s="139"/>
      <c r="M84" s="139"/>
      <c r="N84" s="160"/>
      <c r="O84" s="139"/>
      <c r="P84" s="139"/>
      <c r="Q84" s="139"/>
      <c r="R84" s="139"/>
      <c r="S84" s="139"/>
      <c r="T84" s="160"/>
      <c r="U84" s="161"/>
      <c r="V84" s="84"/>
      <c r="W84" s="162"/>
      <c r="X84" s="162"/>
      <c r="Y84" s="162"/>
      <c r="Z84" s="162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84"/>
      <c r="BD84" s="84"/>
      <c r="BE84" s="84"/>
      <c r="BF84" s="84"/>
      <c r="BG84" s="84"/>
      <c r="BH84" s="84"/>
      <c r="BI84" s="84"/>
      <c r="BJ84" s="84"/>
      <c r="BK84" s="84"/>
      <c r="BL84" s="84"/>
    </row>
    <row r="85" spans="2:64" x14ac:dyDescent="0.3">
      <c r="B85" s="130"/>
      <c r="C85" s="130"/>
      <c r="D85" s="159"/>
      <c r="F85" s="84"/>
      <c r="G85" s="139"/>
      <c r="H85" s="139"/>
      <c r="I85" s="139"/>
      <c r="J85" s="139"/>
      <c r="K85" s="139"/>
      <c r="L85" s="139"/>
      <c r="M85" s="139"/>
      <c r="N85" s="160"/>
      <c r="O85" s="139"/>
      <c r="P85" s="139"/>
      <c r="Q85" s="139"/>
      <c r="R85" s="139"/>
      <c r="S85" s="139"/>
      <c r="T85" s="160"/>
      <c r="U85" s="161"/>
      <c r="V85" s="84"/>
      <c r="W85" s="162"/>
      <c r="X85" s="162"/>
      <c r="Y85" s="162"/>
      <c r="Z85" s="162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84"/>
      <c r="BD85" s="84"/>
      <c r="BE85" s="84"/>
      <c r="BF85" s="84"/>
      <c r="BG85" s="84"/>
      <c r="BH85" s="84"/>
      <c r="BI85" s="84"/>
      <c r="BJ85" s="84"/>
      <c r="BK85" s="84"/>
      <c r="BL85" s="84"/>
    </row>
    <row r="86" spans="2:64" x14ac:dyDescent="0.3">
      <c r="B86" s="130"/>
      <c r="C86" s="130"/>
      <c r="D86" s="159"/>
      <c r="F86" s="84"/>
      <c r="G86" s="139"/>
      <c r="H86" s="139"/>
      <c r="I86" s="139"/>
      <c r="J86" s="139"/>
      <c r="K86" s="139"/>
      <c r="L86" s="139"/>
      <c r="M86" s="139"/>
      <c r="N86" s="160"/>
      <c r="O86" s="139"/>
      <c r="P86" s="139"/>
      <c r="Q86" s="139"/>
      <c r="R86" s="139"/>
      <c r="S86" s="139"/>
      <c r="T86" s="160"/>
      <c r="U86" s="161"/>
      <c r="V86" s="84"/>
      <c r="W86" s="162"/>
      <c r="X86" s="162"/>
      <c r="Y86" s="162"/>
      <c r="Z86" s="162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84"/>
      <c r="BD86" s="84"/>
      <c r="BE86" s="84"/>
      <c r="BF86" s="84"/>
      <c r="BG86" s="84"/>
      <c r="BH86" s="84"/>
      <c r="BI86" s="84"/>
      <c r="BJ86" s="84"/>
      <c r="BK86" s="84"/>
      <c r="BL86" s="84"/>
    </row>
    <row r="87" spans="2:64" x14ac:dyDescent="0.3">
      <c r="B87" s="130"/>
      <c r="C87" s="130"/>
      <c r="D87" s="159"/>
      <c r="F87" s="84"/>
      <c r="G87" s="139"/>
      <c r="H87" s="139"/>
      <c r="I87" s="139"/>
      <c r="J87" s="139"/>
      <c r="K87" s="139"/>
      <c r="L87" s="139"/>
      <c r="M87" s="139"/>
      <c r="N87" s="160"/>
      <c r="O87" s="139"/>
      <c r="P87" s="139"/>
      <c r="Q87" s="139"/>
      <c r="R87" s="139"/>
      <c r="S87" s="139"/>
      <c r="T87" s="160"/>
      <c r="U87" s="161"/>
      <c r="V87" s="84"/>
      <c r="W87" s="162"/>
      <c r="X87" s="162"/>
      <c r="Y87" s="162"/>
      <c r="Z87" s="162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8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84"/>
      <c r="BD87" s="84"/>
      <c r="BE87" s="84"/>
      <c r="BF87" s="84"/>
      <c r="BG87" s="84"/>
      <c r="BH87" s="84"/>
      <c r="BI87" s="84"/>
      <c r="BJ87" s="84"/>
      <c r="BK87" s="84"/>
      <c r="BL87" s="84"/>
    </row>
    <row r="88" spans="2:64" x14ac:dyDescent="0.3">
      <c r="B88" s="130"/>
      <c r="C88" s="130"/>
      <c r="D88" s="159"/>
      <c r="F88" s="84"/>
      <c r="G88" s="139"/>
      <c r="H88" s="139"/>
      <c r="I88" s="139"/>
      <c r="J88" s="139"/>
      <c r="K88" s="139"/>
      <c r="L88" s="139"/>
      <c r="M88" s="139"/>
      <c r="N88" s="160"/>
      <c r="O88" s="139"/>
      <c r="P88" s="139"/>
      <c r="Q88" s="139"/>
      <c r="R88" s="139"/>
      <c r="S88" s="139"/>
      <c r="T88" s="160"/>
      <c r="U88" s="161"/>
      <c r="V88" s="84"/>
      <c r="W88" s="162"/>
      <c r="X88" s="162"/>
      <c r="Y88" s="162"/>
      <c r="Z88" s="162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84"/>
      <c r="BD88" s="84"/>
      <c r="BE88" s="84"/>
      <c r="BF88" s="84"/>
      <c r="BG88" s="84"/>
      <c r="BH88" s="84"/>
      <c r="BI88" s="84"/>
      <c r="BJ88" s="84"/>
      <c r="BK88" s="84"/>
      <c r="BL88" s="84"/>
    </row>
    <row r="89" spans="2:64" x14ac:dyDescent="0.3">
      <c r="B89" s="130"/>
      <c r="C89" s="130"/>
      <c r="D89" s="159"/>
      <c r="F89" s="84"/>
      <c r="G89" s="139"/>
      <c r="H89" s="139"/>
      <c r="I89" s="139"/>
      <c r="J89" s="139"/>
      <c r="K89" s="139"/>
      <c r="L89" s="139"/>
      <c r="M89" s="139"/>
      <c r="N89" s="160"/>
      <c r="O89" s="139"/>
      <c r="P89" s="139"/>
      <c r="Q89" s="139"/>
      <c r="R89" s="139"/>
      <c r="S89" s="139"/>
      <c r="T89" s="160"/>
      <c r="U89" s="161"/>
      <c r="V89" s="84"/>
      <c r="W89" s="162"/>
      <c r="X89" s="162"/>
      <c r="Y89" s="162"/>
      <c r="Z89" s="162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8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84"/>
      <c r="BD89" s="84"/>
      <c r="BE89" s="84"/>
      <c r="BF89" s="84"/>
      <c r="BG89" s="84"/>
      <c r="BH89" s="84"/>
      <c r="BI89" s="84"/>
      <c r="BJ89" s="84"/>
      <c r="BK89" s="84"/>
      <c r="BL89" s="84"/>
    </row>
    <row r="90" spans="2:64" x14ac:dyDescent="0.3">
      <c r="F90" s="84"/>
      <c r="G90" s="84"/>
      <c r="H90" s="84"/>
      <c r="I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8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84"/>
      <c r="BD90" s="84"/>
      <c r="BE90" s="84"/>
      <c r="BF90" s="84"/>
      <c r="BG90" s="84"/>
      <c r="BH90" s="84"/>
      <c r="BI90" s="84"/>
      <c r="BJ90" s="84"/>
      <c r="BK90" s="84"/>
      <c r="BL90" s="84"/>
    </row>
    <row r="91" spans="2:64" ht="22.95" customHeight="1" x14ac:dyDescent="0.3">
      <c r="C91" s="164"/>
      <c r="F91" s="84"/>
      <c r="G91" s="84"/>
      <c r="H91" s="84"/>
      <c r="I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8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84"/>
      <c r="BD91" s="84"/>
      <c r="BE91" s="84"/>
      <c r="BF91" s="84"/>
      <c r="BG91" s="84"/>
      <c r="BH91" s="84"/>
      <c r="BI91" s="84"/>
      <c r="BJ91" s="84"/>
      <c r="BK91" s="84"/>
      <c r="BL91" s="84"/>
    </row>
    <row r="92" spans="2:64" x14ac:dyDescent="0.3">
      <c r="F92" s="84"/>
      <c r="G92" s="84"/>
      <c r="H92" s="84"/>
      <c r="I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84"/>
      <c r="BD92" s="84"/>
      <c r="BE92" s="84"/>
      <c r="BF92" s="84"/>
      <c r="BG92" s="84"/>
      <c r="BH92" s="84"/>
      <c r="BI92" s="84"/>
      <c r="BJ92" s="84"/>
      <c r="BK92" s="84"/>
      <c r="BL92" s="84"/>
    </row>
    <row r="93" spans="2:64" s="84" customFormat="1" x14ac:dyDescent="0.3">
      <c r="F93" s="165"/>
      <c r="G93" s="165"/>
      <c r="H93" s="165"/>
      <c r="I93" s="165"/>
      <c r="J93" s="165"/>
      <c r="K93" s="165"/>
      <c r="L93" s="165"/>
      <c r="M93" s="165"/>
      <c r="N93" s="165"/>
      <c r="O93" s="165"/>
    </row>
    <row r="94" spans="2:64" s="84" customFormat="1" x14ac:dyDescent="0.3">
      <c r="F94" s="139"/>
      <c r="H94" s="139"/>
      <c r="J94" s="139"/>
      <c r="L94" s="139"/>
      <c r="N94" s="139"/>
    </row>
    <row r="95" spans="2:64" s="84" customFormat="1" x14ac:dyDescent="0.3">
      <c r="F95" s="161"/>
      <c r="G95" s="161"/>
      <c r="H95" s="161"/>
      <c r="I95" s="161"/>
      <c r="J95" s="161"/>
      <c r="K95" s="161"/>
      <c r="L95" s="161"/>
      <c r="M95" s="161"/>
      <c r="N95" s="161"/>
      <c r="O95" s="161"/>
    </row>
    <row r="96" spans="2:64" s="84" customFormat="1" x14ac:dyDescent="0.3">
      <c r="F96" s="161"/>
      <c r="G96" s="161"/>
      <c r="H96" s="161"/>
      <c r="I96" s="161"/>
      <c r="J96" s="161"/>
      <c r="K96" s="161"/>
      <c r="L96" s="161"/>
      <c r="M96" s="161"/>
      <c r="N96" s="161"/>
      <c r="O96" s="161"/>
    </row>
    <row r="97" spans="6:15" s="84" customFormat="1" x14ac:dyDescent="0.3">
      <c r="F97" s="161"/>
      <c r="G97" s="161"/>
      <c r="H97" s="161"/>
      <c r="I97" s="161"/>
      <c r="J97" s="161"/>
      <c r="K97" s="161"/>
      <c r="L97" s="161"/>
      <c r="M97" s="161"/>
      <c r="N97" s="161"/>
      <c r="O97" s="161"/>
    </row>
    <row r="98" spans="6:15" s="84" customFormat="1" x14ac:dyDescent="0.3">
      <c r="F98" s="161"/>
      <c r="G98" s="161"/>
      <c r="H98" s="161"/>
      <c r="I98" s="161"/>
      <c r="J98" s="161"/>
      <c r="K98" s="161"/>
      <c r="L98" s="161"/>
      <c r="M98" s="161"/>
      <c r="N98" s="161"/>
      <c r="O98" s="161"/>
    </row>
    <row r="99" spans="6:15" s="84" customFormat="1" x14ac:dyDescent="0.3">
      <c r="F99" s="161"/>
      <c r="G99" s="161"/>
      <c r="H99" s="161"/>
      <c r="I99" s="161"/>
      <c r="J99" s="161"/>
      <c r="K99" s="161"/>
      <c r="L99" s="161"/>
      <c r="M99" s="161"/>
      <c r="N99" s="161"/>
      <c r="O99" s="161"/>
    </row>
    <row r="100" spans="6:15" s="84" customFormat="1" x14ac:dyDescent="0.3"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</row>
    <row r="101" spans="6:15" s="84" customFormat="1" x14ac:dyDescent="0.3"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</row>
    <row r="102" spans="6:15" s="84" customFormat="1" x14ac:dyDescent="0.3"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</row>
    <row r="103" spans="6:15" s="84" customFormat="1" x14ac:dyDescent="0.3"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</row>
    <row r="104" spans="6:15" s="84" customFormat="1" x14ac:dyDescent="0.3"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</row>
    <row r="105" spans="6:15" s="84" customFormat="1" x14ac:dyDescent="0.3"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</row>
    <row r="106" spans="6:15" s="84" customFormat="1" x14ac:dyDescent="0.3"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</row>
    <row r="107" spans="6:15" s="84" customFormat="1" x14ac:dyDescent="0.3"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</row>
    <row r="108" spans="6:15" s="84" customFormat="1" x14ac:dyDescent="0.3"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</row>
    <row r="109" spans="6:15" s="84" customFormat="1" x14ac:dyDescent="0.3"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</row>
    <row r="110" spans="6:15" s="84" customFormat="1" x14ac:dyDescent="0.3"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</row>
    <row r="111" spans="6:15" s="84" customFormat="1" x14ac:dyDescent="0.3"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</row>
    <row r="112" spans="6:15" s="84" customFormat="1" x14ac:dyDescent="0.3"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</row>
    <row r="113" spans="6:15" s="84" customFormat="1" x14ac:dyDescent="0.3"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</row>
    <row r="114" spans="6:15" s="84" customFormat="1" x14ac:dyDescent="0.3"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</row>
    <row r="115" spans="6:15" s="84" customFormat="1" x14ac:dyDescent="0.3"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</row>
    <row r="116" spans="6:15" s="84" customFormat="1" x14ac:dyDescent="0.3"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</row>
    <row r="117" spans="6:15" s="84" customFormat="1" x14ac:dyDescent="0.3"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</row>
    <row r="118" spans="6:15" s="84" customFormat="1" x14ac:dyDescent="0.3"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</row>
    <row r="119" spans="6:15" s="84" customFormat="1" x14ac:dyDescent="0.3"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</row>
    <row r="120" spans="6:15" s="84" customFormat="1" x14ac:dyDescent="0.3"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</row>
    <row r="121" spans="6:15" s="84" customFormat="1" x14ac:dyDescent="0.3"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</row>
    <row r="122" spans="6:15" s="84" customFormat="1" x14ac:dyDescent="0.3"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</row>
    <row r="123" spans="6:15" s="84" customFormat="1" x14ac:dyDescent="0.3"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</row>
    <row r="124" spans="6:15" s="84" customFormat="1" x14ac:dyDescent="0.3"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</row>
    <row r="125" spans="6:15" s="84" customFormat="1" x14ac:dyDescent="0.3"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</row>
    <row r="126" spans="6:15" s="84" customFormat="1" x14ac:dyDescent="0.3"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</row>
    <row r="127" spans="6:15" s="84" customFormat="1" x14ac:dyDescent="0.3"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</row>
    <row r="128" spans="6:15" s="84" customFormat="1" x14ac:dyDescent="0.3"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</row>
    <row r="129" spans="6:15" s="84" customFormat="1" x14ac:dyDescent="0.3"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</row>
    <row r="130" spans="6:15" s="84" customFormat="1" x14ac:dyDescent="0.3"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</row>
    <row r="131" spans="6:15" s="84" customFormat="1" x14ac:dyDescent="0.3"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</row>
    <row r="132" spans="6:15" s="84" customFormat="1" x14ac:dyDescent="0.3"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</row>
    <row r="133" spans="6:15" s="84" customFormat="1" x14ac:dyDescent="0.3"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</row>
    <row r="134" spans="6:15" s="84" customFormat="1" x14ac:dyDescent="0.3"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</row>
    <row r="135" spans="6:15" s="84" customFormat="1" x14ac:dyDescent="0.3"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</row>
    <row r="136" spans="6:15" s="84" customFormat="1" x14ac:dyDescent="0.3"/>
    <row r="137" spans="6:15" s="84" customFormat="1" x14ac:dyDescent="0.3"/>
  </sheetData>
  <mergeCells count="5">
    <mergeCell ref="D2:F2"/>
    <mergeCell ref="H2:I2"/>
    <mergeCell ref="D13:G13"/>
    <mergeCell ref="D26:G26"/>
    <mergeCell ref="F93:O93"/>
  </mergeCells>
  <dataValidations count="2">
    <dataValidation type="list" allowBlank="1" showInputMessage="1" showErrorMessage="1" sqref="F28:G38" xr:uid="{552A290A-F37C-4518-A838-6006BC59FFCE}">
      <formula1>$O$8:$O$12</formula1>
    </dataValidation>
    <dataValidation type="list" allowBlank="1" showInputMessage="1" showErrorMessage="1" sqref="M6 G15:G24" xr:uid="{F0F22159-D21A-4E54-AF53-24948884250B}">
      <formula1>$B$5:$B$6</formula1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0]!MonteCarlov2" altText="Run Scenario">
                <anchor moveWithCells="1" sizeWithCells="1">
                  <from>
                    <xdr:col>9</xdr:col>
                    <xdr:colOff>632460</xdr:colOff>
                    <xdr:row>7</xdr:row>
                    <xdr:rowOff>190500</xdr:rowOff>
                  </from>
                  <to>
                    <xdr:col>12</xdr:col>
                    <xdr:colOff>1181100</xdr:colOff>
                    <xdr:row>9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02960-2772-4F26-BF1B-058B50EDE457}">
  <sheetPr>
    <tabColor theme="3"/>
    <pageSetUpPr autoPageBreaks="0"/>
  </sheetPr>
  <dimension ref="A1:BG33"/>
  <sheetViews>
    <sheetView showGridLines="0" zoomScale="80" zoomScaleNormal="80" workbookViewId="0">
      <selection activeCell="J48" sqref="J48"/>
    </sheetView>
  </sheetViews>
  <sheetFormatPr defaultRowHeight="15.6" x14ac:dyDescent="0.3"/>
  <cols>
    <col min="1" max="1" width="8.796875" style="4"/>
    <col min="2" max="2" width="8.796875" style="4" customWidth="1"/>
    <col min="3" max="4" width="10" style="4" bestFit="1" customWidth="1"/>
    <col min="5" max="6" width="10.8984375" style="4" bestFit="1" customWidth="1"/>
    <col min="7" max="7" width="10" style="4" bestFit="1" customWidth="1"/>
    <col min="8" max="8" width="10.8984375" style="4" bestFit="1" customWidth="1"/>
    <col min="9" max="10" width="10" style="4" bestFit="1" customWidth="1"/>
    <col min="11" max="11" width="9.3984375" style="4" bestFit="1" customWidth="1"/>
    <col min="12" max="12" width="10.8984375" style="4" bestFit="1" customWidth="1"/>
    <col min="13" max="13" width="8.796875" style="4"/>
    <col min="14" max="14" width="33.296875" style="4" customWidth="1"/>
    <col min="15" max="15" width="10" style="4" bestFit="1" customWidth="1"/>
    <col min="16" max="16" width="11.5" style="4" bestFit="1" customWidth="1"/>
    <col min="17" max="22" width="10" style="4" bestFit="1" customWidth="1"/>
    <col min="23" max="23" width="8.8984375" style="4" bestFit="1" customWidth="1"/>
    <col min="24" max="24" width="10" style="4" bestFit="1" customWidth="1"/>
    <col min="25" max="25" width="8.796875" style="4"/>
    <col min="26" max="26" width="37.3984375" style="4" customWidth="1"/>
    <col min="27" max="27" width="9.3984375" style="4" bestFit="1" customWidth="1"/>
    <col min="28" max="28" width="11.5" style="4" bestFit="1" customWidth="1"/>
    <col min="29" max="31" width="10" style="4" bestFit="1" customWidth="1"/>
    <col min="32" max="36" width="9.3984375" style="4" bestFit="1" customWidth="1"/>
    <col min="37" max="16384" width="8.796875" style="4"/>
  </cols>
  <sheetData>
    <row r="1" spans="1:59" ht="25.8" x14ac:dyDescent="0.5">
      <c r="A1" s="1" t="s">
        <v>0</v>
      </c>
      <c r="B1" s="2"/>
      <c r="C1" s="3"/>
      <c r="D1" s="2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</row>
    <row r="2" spans="1:59" ht="17.399999999999999" customHeight="1" thickBot="1" x14ac:dyDescent="0.3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</row>
    <row r="3" spans="1:59" x14ac:dyDescent="0.3">
      <c r="K3" s="6" t="s">
        <v>2</v>
      </c>
      <c r="L3" s="7"/>
      <c r="M3" s="8">
        <v>4</v>
      </c>
    </row>
    <row r="4" spans="1:59" ht="16.2" thickBot="1" x14ac:dyDescent="0.35">
      <c r="K4" s="9" t="s">
        <v>3</v>
      </c>
      <c r="L4" s="10"/>
      <c r="M4" s="11">
        <v>0.08</v>
      </c>
    </row>
    <row r="5" spans="1:59" x14ac:dyDescent="0.3">
      <c r="B5" s="12"/>
      <c r="Z5" s="13" t="s">
        <v>4</v>
      </c>
    </row>
    <row r="6" spans="1:59" x14ac:dyDescent="0.3">
      <c r="B6" s="14" t="s">
        <v>5</v>
      </c>
      <c r="C6" s="15" t="s">
        <v>6</v>
      </c>
      <c r="D6" s="15" t="s">
        <v>7</v>
      </c>
      <c r="E6" s="15" t="s">
        <v>8</v>
      </c>
      <c r="F6" s="15" t="s">
        <v>9</v>
      </c>
      <c r="G6" s="15" t="s">
        <v>10</v>
      </c>
      <c r="H6" s="15" t="s">
        <v>11</v>
      </c>
      <c r="I6" s="15" t="s">
        <v>12</v>
      </c>
      <c r="J6" s="15" t="s">
        <v>13</v>
      </c>
      <c r="K6" s="15" t="s">
        <v>14</v>
      </c>
      <c r="L6" s="15" t="s">
        <v>15</v>
      </c>
      <c r="M6" s="16"/>
      <c r="N6" s="17" t="s">
        <v>16</v>
      </c>
      <c r="O6" s="14" t="str">
        <f t="shared" ref="O6:X6" si="0">C6</f>
        <v>[ETF 1]</v>
      </c>
      <c r="P6" s="14" t="str">
        <f t="shared" si="0"/>
        <v>[ETF 2]</v>
      </c>
      <c r="Q6" s="14" t="str">
        <f t="shared" si="0"/>
        <v>[ETF 3]</v>
      </c>
      <c r="R6" s="14" t="str">
        <f t="shared" si="0"/>
        <v>[ETF 4]</v>
      </c>
      <c r="S6" s="14" t="str">
        <f t="shared" si="0"/>
        <v>[ETF 5]</v>
      </c>
      <c r="T6" s="14" t="str">
        <f t="shared" si="0"/>
        <v>[ETF 6]</v>
      </c>
      <c r="U6" s="14" t="str">
        <f t="shared" si="0"/>
        <v>[ETF 7]</v>
      </c>
      <c r="V6" s="14" t="str">
        <f t="shared" si="0"/>
        <v>[ETF 8]</v>
      </c>
      <c r="W6" s="14" t="str">
        <f t="shared" si="0"/>
        <v>[ETF 9]</v>
      </c>
      <c r="X6" s="14" t="str">
        <f t="shared" si="0"/>
        <v>[ETF 10]</v>
      </c>
      <c r="Y6" s="16"/>
      <c r="Z6" s="18"/>
      <c r="AA6" s="14" t="str">
        <f>O6</f>
        <v>[ETF 1]</v>
      </c>
      <c r="AB6" s="14" t="str">
        <f t="shared" ref="AB6:AJ6" si="1">P6</f>
        <v>[ETF 2]</v>
      </c>
      <c r="AC6" s="14" t="str">
        <f t="shared" si="1"/>
        <v>[ETF 3]</v>
      </c>
      <c r="AD6" s="14" t="str">
        <f t="shared" si="1"/>
        <v>[ETF 4]</v>
      </c>
      <c r="AE6" s="14" t="str">
        <f t="shared" si="1"/>
        <v>[ETF 5]</v>
      </c>
      <c r="AF6" s="14" t="str">
        <f t="shared" si="1"/>
        <v>[ETF 6]</v>
      </c>
      <c r="AG6" s="14" t="str">
        <f t="shared" si="1"/>
        <v>[ETF 7]</v>
      </c>
      <c r="AH6" s="14" t="str">
        <f t="shared" si="1"/>
        <v>[ETF 8]</v>
      </c>
      <c r="AI6" s="14" t="str">
        <f t="shared" si="1"/>
        <v>[ETF 9]</v>
      </c>
      <c r="AJ6" s="14" t="str">
        <f t="shared" si="1"/>
        <v>[ETF 10]</v>
      </c>
    </row>
    <row r="7" spans="1:59" ht="17.55" customHeight="1" x14ac:dyDescent="0.3">
      <c r="A7" s="19"/>
      <c r="B7" s="20"/>
      <c r="C7" s="21">
        <v>2.8999999999999998E-2</v>
      </c>
      <c r="D7" s="22">
        <v>1E-3</v>
      </c>
      <c r="E7" s="21">
        <v>-0.13699999999999998</v>
      </c>
      <c r="F7" s="22">
        <v>-0.14699999999999999</v>
      </c>
      <c r="G7" s="21">
        <v>-6.4000000000000001E-2</v>
      </c>
      <c r="H7" s="22">
        <v>-0.114</v>
      </c>
      <c r="I7" s="22">
        <v>-0.01</v>
      </c>
      <c r="J7" s="21">
        <v>-4.2000000000000003E-2</v>
      </c>
      <c r="K7" s="22">
        <v>7.400000000000001E-2</v>
      </c>
      <c r="L7" s="23">
        <v>0.10400000000000001</v>
      </c>
      <c r="M7" s="24"/>
      <c r="N7" s="25" t="s">
        <v>17</v>
      </c>
      <c r="O7" s="26">
        <f t="shared" ref="O7:X7" si="2">AVERAGE(C7:C26)</f>
        <v>5.1900000000000002E-2</v>
      </c>
      <c r="P7" s="26">
        <f t="shared" si="2"/>
        <v>5.2650000000000009E-2</v>
      </c>
      <c r="Q7" s="26">
        <f t="shared" si="2"/>
        <v>6.59E-2</v>
      </c>
      <c r="R7" s="26">
        <f t="shared" si="2"/>
        <v>5.4400000000000025E-2</v>
      </c>
      <c r="S7" s="26">
        <f t="shared" si="2"/>
        <v>5.7550000000000011E-2</v>
      </c>
      <c r="T7" s="26">
        <f t="shared" si="2"/>
        <v>5.9250000000000004E-2</v>
      </c>
      <c r="U7" s="26">
        <f t="shared" si="2"/>
        <v>5.0299999999999997E-2</v>
      </c>
      <c r="V7" s="26">
        <f t="shared" si="2"/>
        <v>4.7350000000000017E-2</v>
      </c>
      <c r="W7" s="26">
        <f t="shared" si="2"/>
        <v>2.2100000000000009E-2</v>
      </c>
      <c r="X7" s="26">
        <f t="shared" si="2"/>
        <v>3.0800000000000011E-2</v>
      </c>
      <c r="Y7" s="24"/>
      <c r="Z7" s="27" t="str">
        <f>N16</f>
        <v>[ETF 1]</v>
      </c>
      <c r="AA7" s="28">
        <f t="shared" ref="AA7:AJ7" si="3">COVAR($C:$C,C:C)*$M$3</f>
        <v>4.6098760000000009E-2</v>
      </c>
      <c r="AB7" s="29">
        <f t="shared" si="3"/>
        <v>5.1462059999999997E-2</v>
      </c>
      <c r="AC7" s="29">
        <f t="shared" si="3"/>
        <v>7.3303560000000018E-2</v>
      </c>
      <c r="AD7" s="29">
        <f t="shared" si="3"/>
        <v>6.6226560000000018E-2</v>
      </c>
      <c r="AE7" s="29">
        <f t="shared" si="3"/>
        <v>5.8365819999999999E-2</v>
      </c>
      <c r="AF7" s="29">
        <f t="shared" si="3"/>
        <v>5.2760900000000013E-2</v>
      </c>
      <c r="AG7" s="29">
        <f t="shared" si="3"/>
        <v>3.9981119999999995E-2</v>
      </c>
      <c r="AH7" s="29">
        <f t="shared" si="3"/>
        <v>5.192534E-2</v>
      </c>
      <c r="AI7" s="29">
        <f t="shared" si="3"/>
        <v>1.8278400000000001E-3</v>
      </c>
      <c r="AJ7" s="29">
        <f t="shared" si="3"/>
        <v>-8.6732800000000002E-3</v>
      </c>
    </row>
    <row r="8" spans="1:59" ht="17.55" customHeight="1" x14ac:dyDescent="0.3">
      <c r="A8" s="19"/>
      <c r="B8" s="30"/>
      <c r="C8" s="31">
        <v>0.41600000000000004</v>
      </c>
      <c r="D8" s="32">
        <v>0.44299999999999995</v>
      </c>
      <c r="E8" s="31">
        <v>0.66</v>
      </c>
      <c r="F8" s="32">
        <v>0.66200000000000003</v>
      </c>
      <c r="G8" s="31">
        <v>0.47499999999999998</v>
      </c>
      <c r="H8" s="32">
        <v>0.49099999999999999</v>
      </c>
      <c r="I8" s="32">
        <v>0.376</v>
      </c>
      <c r="J8" s="31">
        <v>0.47</v>
      </c>
      <c r="K8" s="32">
        <v>4.7E-2</v>
      </c>
      <c r="L8" s="33">
        <v>-4.0999999999999995E-2</v>
      </c>
      <c r="M8" s="24"/>
      <c r="N8" s="25" t="s">
        <v>18</v>
      </c>
      <c r="O8" s="26">
        <f t="shared" ref="O8:X8" si="4">(1+O7)^$M$3-1</f>
        <v>0.22432810897083222</v>
      </c>
      <c r="P8" s="26">
        <f t="shared" si="4"/>
        <v>0.22782360704724103</v>
      </c>
      <c r="Q8" s="26">
        <f t="shared" si="4"/>
        <v>0.29082048471469646</v>
      </c>
      <c r="R8" s="26">
        <f t="shared" si="4"/>
        <v>0.23600887454760944</v>
      </c>
      <c r="S8" s="26">
        <f t="shared" si="4"/>
        <v>0.25084540733605998</v>
      </c>
      <c r="T8" s="26">
        <f t="shared" si="4"/>
        <v>0.25890770236156668</v>
      </c>
      <c r="U8" s="26">
        <f t="shared" si="4"/>
        <v>0.21689599546340821</v>
      </c>
      <c r="V8" s="26">
        <f t="shared" si="4"/>
        <v>0.20328180072639035</v>
      </c>
      <c r="W8" s="26">
        <f t="shared" si="4"/>
        <v>9.137387398832808E-2</v>
      </c>
      <c r="X8" s="26">
        <f t="shared" si="4"/>
        <v>0.12900961236584951</v>
      </c>
      <c r="Y8" s="24"/>
      <c r="Z8" s="27" t="str">
        <f t="shared" ref="Z8:Z16" si="5">N17</f>
        <v>[ETF 2]</v>
      </c>
      <c r="AA8" s="29">
        <f t="shared" ref="AA8:AJ8" si="6">COVAR($D:$D,C:C)*$M$3</f>
        <v>5.1462059999999997E-2</v>
      </c>
      <c r="AB8" s="28">
        <f t="shared" si="6"/>
        <v>5.8861309999999986E-2</v>
      </c>
      <c r="AC8" s="29">
        <f t="shared" si="6"/>
        <v>8.4765459999999987E-2</v>
      </c>
      <c r="AD8" s="29">
        <f t="shared" si="6"/>
        <v>7.4614760000000002E-2</v>
      </c>
      <c r="AE8" s="29">
        <f t="shared" si="6"/>
        <v>6.7414369999999987E-2</v>
      </c>
      <c r="AF8" s="29">
        <f t="shared" si="6"/>
        <v>5.9804149999999986E-2</v>
      </c>
      <c r="AG8" s="29">
        <f t="shared" si="6"/>
        <v>4.5890420000000001E-2</v>
      </c>
      <c r="AH8" s="29">
        <f t="shared" si="6"/>
        <v>5.9324889999999984E-2</v>
      </c>
      <c r="AI8" s="29">
        <f t="shared" si="6"/>
        <v>2.1465400000000002E-3</v>
      </c>
      <c r="AJ8" s="29">
        <f t="shared" si="6"/>
        <v>-8.1790799999999966E-3</v>
      </c>
    </row>
    <row r="9" spans="1:59" ht="17.55" customHeight="1" x14ac:dyDescent="0.3">
      <c r="A9" s="19"/>
      <c r="B9" s="30"/>
      <c r="C9" s="31">
        <v>0.192</v>
      </c>
      <c r="D9" s="32">
        <v>0.23399999999999999</v>
      </c>
      <c r="E9" s="31">
        <v>0.30499999999999999</v>
      </c>
      <c r="F9" s="32">
        <v>0.157</v>
      </c>
      <c r="G9" s="31">
        <v>0.27399999999999997</v>
      </c>
      <c r="H9" s="32">
        <v>0.19800000000000001</v>
      </c>
      <c r="I9" s="32">
        <v>0.14099999999999999</v>
      </c>
      <c r="J9" s="31">
        <v>0.182</v>
      </c>
      <c r="K9" s="32">
        <v>1.8000000000000002E-2</v>
      </c>
      <c r="L9" s="33">
        <v>7.6999999999999999E-2</v>
      </c>
      <c r="M9" s="24"/>
      <c r="N9" s="25" t="s">
        <v>19</v>
      </c>
      <c r="O9" s="26">
        <f t="shared" ref="O9:X9" si="7">VARP(C7:C26)</f>
        <v>1.1524689999999999E-2</v>
      </c>
      <c r="P9" s="26">
        <f t="shared" si="7"/>
        <v>1.4715327499999993E-2</v>
      </c>
      <c r="Q9" s="26">
        <f t="shared" si="7"/>
        <v>3.5143890000000011E-2</v>
      </c>
      <c r="R9" s="26">
        <f t="shared" si="7"/>
        <v>2.8544539999999997E-2</v>
      </c>
      <c r="S9" s="26">
        <f t="shared" si="7"/>
        <v>2.0272547499999991E-2</v>
      </c>
      <c r="T9" s="26">
        <f t="shared" si="7"/>
        <v>1.8379787499999994E-2</v>
      </c>
      <c r="U9" s="26">
        <f t="shared" si="7"/>
        <v>1.0005809999999997E-2</v>
      </c>
      <c r="V9" s="26">
        <f t="shared" si="7"/>
        <v>1.5936027500000002E-2</v>
      </c>
      <c r="W9" s="26">
        <f t="shared" si="7"/>
        <v>7.0808999999999987E-4</v>
      </c>
      <c r="X9" s="26">
        <f t="shared" si="7"/>
        <v>6.4095600000000008E-3</v>
      </c>
      <c r="Y9" s="24"/>
      <c r="Z9" s="27" t="str">
        <f t="shared" si="5"/>
        <v>[ETF 3]</v>
      </c>
      <c r="AA9" s="29">
        <f t="shared" ref="AA9:AJ9" si="8">COVAR($E:$E,C:C)*$M$3</f>
        <v>7.3303560000000018E-2</v>
      </c>
      <c r="AB9" s="29">
        <f t="shared" si="8"/>
        <v>8.4765459999999987E-2</v>
      </c>
      <c r="AC9" s="28">
        <f t="shared" si="8"/>
        <v>0.14057555999999999</v>
      </c>
      <c r="AD9" s="29">
        <f t="shared" si="8"/>
        <v>0.11826456</v>
      </c>
      <c r="AE9" s="29">
        <f t="shared" si="8"/>
        <v>0.10237482000000001</v>
      </c>
      <c r="AF9" s="29">
        <f t="shared" si="8"/>
        <v>9.0358299999999989E-2</v>
      </c>
      <c r="AG9" s="29">
        <f t="shared" si="8"/>
        <v>7.3083320000000007E-2</v>
      </c>
      <c r="AH9" s="29">
        <f t="shared" si="8"/>
        <v>9.1076940000000023E-2</v>
      </c>
      <c r="AI9" s="29">
        <f t="shared" si="8"/>
        <v>1.9662400000000002E-3</v>
      </c>
      <c r="AJ9" s="29">
        <f t="shared" si="8"/>
        <v>-1.4356079999999997E-2</v>
      </c>
    </row>
    <row r="10" spans="1:59" ht="17.55" customHeight="1" x14ac:dyDescent="0.3">
      <c r="A10" s="19"/>
      <c r="B10" s="30"/>
      <c r="C10" s="31">
        <v>-2E-3</v>
      </c>
      <c r="D10" s="32">
        <v>-2E-3</v>
      </c>
      <c r="E10" s="31">
        <v>0.14099999999999999</v>
      </c>
      <c r="F10" s="32">
        <v>-2E-3</v>
      </c>
      <c r="G10" s="31">
        <v>-2E-3</v>
      </c>
      <c r="H10" s="32">
        <v>5.5999999999999994E-2</v>
      </c>
      <c r="I10" s="32">
        <v>8.5000000000000006E-2</v>
      </c>
      <c r="J10" s="31">
        <v>-2E-3</v>
      </c>
      <c r="K10" s="32">
        <v>1.7000000000000001E-2</v>
      </c>
      <c r="L10" s="33">
        <v>-2E-3</v>
      </c>
      <c r="M10" s="24"/>
      <c r="N10" s="25" t="s">
        <v>20</v>
      </c>
      <c r="O10" s="26">
        <f t="shared" ref="O10:X10" si="9">$M$3*O9</f>
        <v>4.6098759999999996E-2</v>
      </c>
      <c r="P10" s="26">
        <f t="shared" si="9"/>
        <v>5.8861309999999972E-2</v>
      </c>
      <c r="Q10" s="26">
        <f t="shared" si="9"/>
        <v>0.14057556000000004</v>
      </c>
      <c r="R10" s="26">
        <f t="shared" si="9"/>
        <v>0.11417815999999999</v>
      </c>
      <c r="S10" s="26">
        <f t="shared" si="9"/>
        <v>8.1090189999999965E-2</v>
      </c>
      <c r="T10" s="26">
        <f t="shared" si="9"/>
        <v>7.3519149999999978E-2</v>
      </c>
      <c r="U10" s="26">
        <f t="shared" si="9"/>
        <v>4.0023239999999988E-2</v>
      </c>
      <c r="V10" s="26">
        <f t="shared" si="9"/>
        <v>6.3744110000000007E-2</v>
      </c>
      <c r="W10" s="26">
        <f t="shared" si="9"/>
        <v>2.8323599999999995E-3</v>
      </c>
      <c r="X10" s="26">
        <f t="shared" si="9"/>
        <v>2.5638240000000003E-2</v>
      </c>
      <c r="Y10" s="24"/>
      <c r="Z10" s="27" t="str">
        <f t="shared" si="5"/>
        <v>[ETF 4]</v>
      </c>
      <c r="AA10" s="29">
        <f t="shared" ref="AA10:AJ10" si="10">COVAR($F:$F,C:C)*$M$3</f>
        <v>6.6226560000000018E-2</v>
      </c>
      <c r="AB10" s="29">
        <f t="shared" si="10"/>
        <v>7.4614760000000002E-2</v>
      </c>
      <c r="AC10" s="29">
        <f t="shared" si="10"/>
        <v>0.11826456</v>
      </c>
      <c r="AD10" s="28">
        <f t="shared" si="10"/>
        <v>0.11417815999999999</v>
      </c>
      <c r="AE10" s="29">
        <f t="shared" si="10"/>
        <v>8.9296920000000016E-2</v>
      </c>
      <c r="AF10" s="29">
        <f t="shared" si="10"/>
        <v>7.8504199999999996E-2</v>
      </c>
      <c r="AG10" s="29">
        <f t="shared" si="10"/>
        <v>6.219572000000001E-2</v>
      </c>
      <c r="AH10" s="29">
        <f t="shared" si="10"/>
        <v>8.1316440000000004E-2</v>
      </c>
      <c r="AI10" s="29">
        <f t="shared" si="10"/>
        <v>2.2504399999999998E-3</v>
      </c>
      <c r="AJ10" s="29">
        <f t="shared" si="10"/>
        <v>-1.4657480000000001E-2</v>
      </c>
    </row>
    <row r="11" spans="1:59" ht="17.55" customHeight="1" x14ac:dyDescent="0.3">
      <c r="A11" s="19"/>
      <c r="B11" s="30"/>
      <c r="C11" s="31">
        <v>3.4000000000000002E-2</v>
      </c>
      <c r="D11" s="32">
        <v>1.9E-2</v>
      </c>
      <c r="E11" s="31">
        <v>9.1999999999999998E-2</v>
      </c>
      <c r="F11" s="32">
        <v>4.5999999999999999E-2</v>
      </c>
      <c r="G11" s="31">
        <v>5.4000000000000006E-2</v>
      </c>
      <c r="H11" s="32">
        <v>1.8000000000000002E-2</v>
      </c>
      <c r="I11" s="32">
        <v>0.04</v>
      </c>
      <c r="J11" s="31">
        <v>4.0999999999999995E-2</v>
      </c>
      <c r="K11" s="32">
        <v>1.2E-2</v>
      </c>
      <c r="L11" s="33">
        <v>-2.7999999999999997E-2</v>
      </c>
      <c r="M11" s="24"/>
      <c r="N11" s="25" t="s">
        <v>21</v>
      </c>
      <c r="O11" s="26">
        <f>SQRT(O10)</f>
        <v>0.21470621788853717</v>
      </c>
      <c r="P11" s="26">
        <f t="shared" ref="P11:X11" si="11">SQRT(P10)</f>
        <v>0.24261349921222433</v>
      </c>
      <c r="Q11" s="26">
        <f t="shared" si="11"/>
        <v>0.37493407420505281</v>
      </c>
      <c r="R11" s="26">
        <f t="shared" si="11"/>
        <v>0.33790258951360524</v>
      </c>
      <c r="S11" s="26">
        <f t="shared" si="11"/>
        <v>0.2847633930125148</v>
      </c>
      <c r="T11" s="26">
        <f t="shared" si="11"/>
        <v>0.27114414985391067</v>
      </c>
      <c r="U11" s="26">
        <f t="shared" si="11"/>
        <v>0.20005809156342561</v>
      </c>
      <c r="V11" s="26">
        <f t="shared" si="11"/>
        <v>0.25247595925156913</v>
      </c>
      <c r="W11" s="26">
        <f t="shared" si="11"/>
        <v>5.321992108224137E-2</v>
      </c>
      <c r="X11" s="26">
        <f t="shared" si="11"/>
        <v>0.16011945540751757</v>
      </c>
      <c r="Y11" s="24"/>
      <c r="Z11" s="27" t="str">
        <f t="shared" si="5"/>
        <v>[ETF 5]</v>
      </c>
      <c r="AA11" s="29">
        <f t="shared" ref="AA11:AJ11" si="12">COVAR($G:$G,C:C)*$M$3</f>
        <v>5.8365819999999999E-2</v>
      </c>
      <c r="AB11" s="29">
        <f t="shared" si="12"/>
        <v>6.7414369999999987E-2</v>
      </c>
      <c r="AC11" s="29">
        <f t="shared" si="12"/>
        <v>0.10237482000000001</v>
      </c>
      <c r="AD11" s="29">
        <f t="shared" si="12"/>
        <v>8.9296920000000016E-2</v>
      </c>
      <c r="AE11" s="28">
        <f t="shared" si="12"/>
        <v>8.1090190000000006E-2</v>
      </c>
      <c r="AF11" s="29">
        <f t="shared" si="12"/>
        <v>6.9018850000000007E-2</v>
      </c>
      <c r="AG11" s="29">
        <f t="shared" si="12"/>
        <v>5.4631740000000005E-2</v>
      </c>
      <c r="AH11" s="29">
        <f t="shared" si="12"/>
        <v>7.0355429999999983E-2</v>
      </c>
      <c r="AI11" s="29">
        <f t="shared" si="12"/>
        <v>1.6213799999999997E-3</v>
      </c>
      <c r="AJ11" s="29">
        <f t="shared" si="12"/>
        <v>-1.0865959999999999E-2</v>
      </c>
    </row>
    <row r="12" spans="1:59" ht="17.55" customHeight="1" x14ac:dyDescent="0.3">
      <c r="A12" s="19"/>
      <c r="B12" s="30"/>
      <c r="C12" s="31">
        <v>2.8999999999999998E-2</v>
      </c>
      <c r="D12" s="32">
        <v>6.0999999999999999E-2</v>
      </c>
      <c r="E12" s="31">
        <v>9.4E-2</v>
      </c>
      <c r="F12" s="32">
        <v>2E-3</v>
      </c>
      <c r="G12" s="31">
        <v>0.05</v>
      </c>
      <c r="H12" s="32">
        <v>4.0000000000000001E-3</v>
      </c>
      <c r="I12" s="32">
        <v>6.7000000000000004E-2</v>
      </c>
      <c r="J12" s="31">
        <v>6.6000000000000003E-2</v>
      </c>
      <c r="K12" s="32">
        <v>5.7000000000000002E-2</v>
      </c>
      <c r="L12" s="33">
        <v>0.14199999999999999</v>
      </c>
      <c r="M12" s="24"/>
      <c r="N12" s="24"/>
      <c r="O12" s="24"/>
      <c r="P12" s="34"/>
      <c r="Q12" s="24"/>
      <c r="R12" s="24"/>
      <c r="S12" s="24"/>
      <c r="T12" s="35"/>
      <c r="U12" s="24"/>
      <c r="V12" s="24"/>
      <c r="W12" s="24"/>
      <c r="X12" s="24"/>
      <c r="Y12" s="24"/>
      <c r="Z12" s="27" t="str">
        <f t="shared" si="5"/>
        <v>[ETF 6]</v>
      </c>
      <c r="AA12" s="29">
        <f t="shared" ref="AA12:AJ12" si="13">COVAR($H:$H,C:C)*$M$3</f>
        <v>5.2760900000000013E-2</v>
      </c>
      <c r="AB12" s="29">
        <f t="shared" si="13"/>
        <v>5.9804149999999986E-2</v>
      </c>
      <c r="AC12" s="29">
        <f t="shared" si="13"/>
        <v>9.0358299999999989E-2</v>
      </c>
      <c r="AD12" s="29">
        <f t="shared" si="13"/>
        <v>7.8504199999999996E-2</v>
      </c>
      <c r="AE12" s="29">
        <f t="shared" si="13"/>
        <v>6.9018850000000007E-2</v>
      </c>
      <c r="AF12" s="28">
        <f t="shared" si="13"/>
        <v>7.3519150000000005E-2</v>
      </c>
      <c r="AG12" s="29">
        <f t="shared" si="13"/>
        <v>4.7870099999999985E-2</v>
      </c>
      <c r="AH12" s="29">
        <f t="shared" si="13"/>
        <v>5.9908650000000008E-2</v>
      </c>
      <c r="AI12" s="29">
        <f t="shared" si="13"/>
        <v>-2.2897000000000013E-3</v>
      </c>
      <c r="AJ12" s="29">
        <f t="shared" si="13"/>
        <v>-1.1240999999999999E-2</v>
      </c>
    </row>
    <row r="13" spans="1:59" ht="17.55" customHeight="1" x14ac:dyDescent="0.3">
      <c r="A13" s="19"/>
      <c r="B13" s="30"/>
      <c r="C13" s="31">
        <v>0.154</v>
      </c>
      <c r="D13" s="32">
        <v>0.16200000000000001</v>
      </c>
      <c r="E13" s="31">
        <v>0.14199999999999999</v>
      </c>
      <c r="F13" s="32">
        <v>0.191</v>
      </c>
      <c r="G13" s="31">
        <v>0.183</v>
      </c>
      <c r="H13" s="32">
        <v>0.14300000000000002</v>
      </c>
      <c r="I13" s="32">
        <v>9.9000000000000005E-2</v>
      </c>
      <c r="J13" s="31">
        <v>0.125</v>
      </c>
      <c r="K13" s="32">
        <v>1.3999999999999999E-2</v>
      </c>
      <c r="L13" s="33">
        <v>1.4999999999999999E-2</v>
      </c>
      <c r="M13" s="24"/>
      <c r="N13" s="24"/>
      <c r="O13" s="24"/>
      <c r="P13" s="34"/>
      <c r="Q13" s="24"/>
      <c r="R13" s="24"/>
      <c r="S13" s="24"/>
      <c r="T13" s="24"/>
      <c r="U13" s="24"/>
      <c r="V13" s="24"/>
      <c r="W13" s="24"/>
      <c r="X13" s="24"/>
      <c r="Y13" s="24"/>
      <c r="Z13" s="27" t="str">
        <f t="shared" si="5"/>
        <v>[ETF 7]</v>
      </c>
      <c r="AA13" s="29">
        <f t="shared" ref="AA13:AJ13" si="14">COVAR($I:$I,C:C)*$M$3</f>
        <v>3.9981119999999995E-2</v>
      </c>
      <c r="AB13" s="29">
        <f t="shared" si="14"/>
        <v>4.5890420000000001E-2</v>
      </c>
      <c r="AC13" s="29">
        <f t="shared" si="14"/>
        <v>7.3083320000000007E-2</v>
      </c>
      <c r="AD13" s="29">
        <f t="shared" si="14"/>
        <v>6.219572000000001E-2</v>
      </c>
      <c r="AE13" s="29">
        <f t="shared" si="14"/>
        <v>5.4631740000000005E-2</v>
      </c>
      <c r="AF13" s="29">
        <f t="shared" si="14"/>
        <v>4.7870099999999985E-2</v>
      </c>
      <c r="AG13" s="28">
        <f t="shared" si="14"/>
        <v>4.0023240000000002E-2</v>
      </c>
      <c r="AH13" s="29">
        <f t="shared" si="14"/>
        <v>4.9348980000000001E-2</v>
      </c>
      <c r="AI13" s="29">
        <f t="shared" si="14"/>
        <v>1.6530800000000001E-3</v>
      </c>
      <c r="AJ13" s="29">
        <f t="shared" si="14"/>
        <v>-8.1461600000000012E-3</v>
      </c>
    </row>
    <row r="14" spans="1:59" ht="17.55" customHeight="1" x14ac:dyDescent="0.3">
      <c r="A14" s="19"/>
      <c r="B14" s="30"/>
      <c r="C14" s="31">
        <v>1.2E-2</v>
      </c>
      <c r="D14" s="32">
        <v>2E-3</v>
      </c>
      <c r="E14" s="31">
        <v>-4.4000000000000004E-2</v>
      </c>
      <c r="F14" s="32">
        <v>1E-3</v>
      </c>
      <c r="G14" s="31">
        <v>-2.6000000000000002E-2</v>
      </c>
      <c r="H14" s="32">
        <v>-1.9E-2</v>
      </c>
      <c r="I14" s="32">
        <v>6.0000000000000001E-3</v>
      </c>
      <c r="J14" s="31">
        <v>-6.9999999999999993E-3</v>
      </c>
      <c r="K14" s="32">
        <v>1.1000000000000001E-2</v>
      </c>
      <c r="L14" s="33">
        <v>7.2999999999999995E-2</v>
      </c>
      <c r="M14" s="24"/>
      <c r="N14" s="36"/>
      <c r="O14" s="37" t="s">
        <v>22</v>
      </c>
      <c r="P14" s="38"/>
      <c r="Q14" s="24"/>
      <c r="R14" s="24"/>
      <c r="S14" s="24"/>
      <c r="T14" s="24"/>
      <c r="U14" s="24"/>
      <c r="V14" s="24"/>
      <c r="W14" s="24"/>
      <c r="X14" s="24"/>
      <c r="Y14" s="24"/>
      <c r="Z14" s="27" t="str">
        <f t="shared" si="5"/>
        <v>[ETF 8]</v>
      </c>
      <c r="AA14" s="29">
        <f t="shared" ref="AA14:AJ14" si="15">COVAR($J:$J,C:C)*$M$3</f>
        <v>5.192534E-2</v>
      </c>
      <c r="AB14" s="29">
        <f t="shared" si="15"/>
        <v>5.9324889999999984E-2</v>
      </c>
      <c r="AC14" s="29">
        <f t="shared" si="15"/>
        <v>9.1076940000000023E-2</v>
      </c>
      <c r="AD14" s="29">
        <f t="shared" si="15"/>
        <v>8.1316440000000004E-2</v>
      </c>
      <c r="AE14" s="29">
        <f t="shared" si="15"/>
        <v>7.0355429999999983E-2</v>
      </c>
      <c r="AF14" s="29">
        <f t="shared" si="15"/>
        <v>5.9908650000000008E-2</v>
      </c>
      <c r="AG14" s="29">
        <f t="shared" si="15"/>
        <v>4.9348980000000001E-2</v>
      </c>
      <c r="AH14" s="28">
        <f t="shared" si="15"/>
        <v>6.374411000000002E-2</v>
      </c>
      <c r="AI14" s="29">
        <f t="shared" si="15"/>
        <v>2.72186E-3</v>
      </c>
      <c r="AJ14" s="29">
        <f t="shared" si="15"/>
        <v>-1.1425919999999996E-2</v>
      </c>
    </row>
    <row r="15" spans="1:59" ht="17.55" customHeight="1" x14ac:dyDescent="0.3">
      <c r="A15" s="19"/>
      <c r="B15" s="30"/>
      <c r="C15" s="31">
        <v>-2.6000000000000002E-2</v>
      </c>
      <c r="D15" s="32">
        <v>-5.7999999999999996E-2</v>
      </c>
      <c r="E15" s="31">
        <v>-0.14699999999999999</v>
      </c>
      <c r="F15" s="32">
        <v>-0.09</v>
      </c>
      <c r="G15" s="31">
        <v>-7.2999999999999995E-2</v>
      </c>
      <c r="H15" s="32">
        <v>-4.9000000000000002E-2</v>
      </c>
      <c r="I15" s="32">
        <v>-3.1E-2</v>
      </c>
      <c r="J15" s="31">
        <v>-3.2000000000000001E-2</v>
      </c>
      <c r="K15" s="32">
        <v>1.2E-2</v>
      </c>
      <c r="L15" s="33">
        <v>1.3000000000000001E-2</v>
      </c>
      <c r="M15" s="24"/>
      <c r="N15" s="39" t="s">
        <v>23</v>
      </c>
      <c r="O15" s="40" t="s">
        <v>24</v>
      </c>
      <c r="P15" s="41" t="s">
        <v>25</v>
      </c>
      <c r="Q15" s="24"/>
      <c r="R15" s="24"/>
      <c r="S15" s="24"/>
      <c r="T15" s="24"/>
      <c r="U15" s="24"/>
      <c r="V15" s="24"/>
      <c r="W15" s="24"/>
      <c r="X15" s="24"/>
      <c r="Y15" s="24"/>
      <c r="Z15" s="27" t="str">
        <f t="shared" si="5"/>
        <v>[ETF 9]</v>
      </c>
      <c r="AA15" s="29">
        <f t="shared" ref="AA15:AJ15" si="16">COVAR($K:$K,C:C)*$M$3</f>
        <v>1.8278400000000001E-3</v>
      </c>
      <c r="AB15" s="29">
        <f t="shared" si="16"/>
        <v>2.1465400000000002E-3</v>
      </c>
      <c r="AC15" s="29">
        <f t="shared" si="16"/>
        <v>1.9662400000000002E-3</v>
      </c>
      <c r="AD15" s="29">
        <f t="shared" si="16"/>
        <v>2.2504399999999998E-3</v>
      </c>
      <c r="AE15" s="29">
        <f t="shared" si="16"/>
        <v>1.6213799999999997E-3</v>
      </c>
      <c r="AF15" s="29">
        <f t="shared" si="16"/>
        <v>-2.2897000000000013E-3</v>
      </c>
      <c r="AG15" s="29">
        <f t="shared" si="16"/>
        <v>1.6530800000000001E-3</v>
      </c>
      <c r="AH15" s="29">
        <f t="shared" si="16"/>
        <v>2.72186E-3</v>
      </c>
      <c r="AI15" s="28">
        <f t="shared" si="16"/>
        <v>2.8323600000000003E-3</v>
      </c>
      <c r="AJ15" s="29">
        <f t="shared" si="16"/>
        <v>-2.3297199999999995E-3</v>
      </c>
    </row>
    <row r="16" spans="1:59" ht="17.55" customHeight="1" x14ac:dyDescent="0.3">
      <c r="A16" s="19"/>
      <c r="B16" s="30"/>
      <c r="C16" s="31">
        <v>-0.01</v>
      </c>
      <c r="D16" s="32">
        <v>-2.5000000000000001E-2</v>
      </c>
      <c r="E16" s="31">
        <v>1.4999999999999999E-2</v>
      </c>
      <c r="F16" s="32">
        <v>4.9000000000000002E-2</v>
      </c>
      <c r="G16" s="31">
        <v>2.6000000000000002E-2</v>
      </c>
      <c r="H16" s="32">
        <v>-2.7000000000000003E-2</v>
      </c>
      <c r="I16" s="32">
        <v>4.5999999999999999E-2</v>
      </c>
      <c r="J16" s="31">
        <v>1.6E-2</v>
      </c>
      <c r="K16" s="32">
        <v>1.1000000000000001E-2</v>
      </c>
      <c r="L16" s="33">
        <v>4.9000000000000002E-2</v>
      </c>
      <c r="M16" s="24"/>
      <c r="N16" s="42" t="str">
        <f>O6</f>
        <v>[ETF 1]</v>
      </c>
      <c r="O16" s="43">
        <f>O8</f>
        <v>0.22432810897083222</v>
      </c>
      <c r="P16" s="44">
        <v>8.729000631111837E-2</v>
      </c>
      <c r="S16" s="24"/>
      <c r="T16" s="24"/>
      <c r="U16" s="24"/>
      <c r="V16" s="24"/>
      <c r="W16" s="24"/>
      <c r="X16" s="24"/>
      <c r="Y16" s="24"/>
      <c r="Z16" s="27" t="str">
        <f t="shared" si="5"/>
        <v>[ETF 10]</v>
      </c>
      <c r="AA16" s="29">
        <f t="shared" ref="AA16:AJ16" si="17">COVAR($L:$L,C:C)*$M$3</f>
        <v>-8.6732800000000002E-3</v>
      </c>
      <c r="AB16" s="29">
        <f t="shared" si="17"/>
        <v>-8.1790799999999966E-3</v>
      </c>
      <c r="AC16" s="29">
        <f t="shared" si="17"/>
        <v>-1.4356079999999997E-2</v>
      </c>
      <c r="AD16" s="29">
        <f t="shared" si="17"/>
        <v>-1.4657480000000001E-2</v>
      </c>
      <c r="AE16" s="29">
        <f t="shared" si="17"/>
        <v>-1.0865959999999999E-2</v>
      </c>
      <c r="AF16" s="29">
        <f t="shared" si="17"/>
        <v>-1.1240999999999999E-2</v>
      </c>
      <c r="AG16" s="29">
        <f t="shared" si="17"/>
        <v>-8.1461600000000012E-3</v>
      </c>
      <c r="AH16" s="29">
        <f t="shared" si="17"/>
        <v>-1.1425919999999996E-2</v>
      </c>
      <c r="AI16" s="29">
        <f t="shared" si="17"/>
        <v>-2.3297199999999995E-3</v>
      </c>
      <c r="AJ16" s="28">
        <f t="shared" si="17"/>
        <v>2.563824E-2</v>
      </c>
    </row>
    <row r="17" spans="1:27" ht="17.55" customHeight="1" x14ac:dyDescent="0.3">
      <c r="A17" s="19"/>
      <c r="B17" s="30"/>
      <c r="C17" s="31">
        <v>-9.4E-2</v>
      </c>
      <c r="D17" s="32">
        <v>-8.6999999999999994E-2</v>
      </c>
      <c r="E17" s="31">
        <v>-5.2000000000000005E-2</v>
      </c>
      <c r="F17" s="32">
        <v>-1.3999999999999999E-2</v>
      </c>
      <c r="G17" s="31">
        <v>-8.900000000000001E-2</v>
      </c>
      <c r="H17" s="32">
        <v>-0.107</v>
      </c>
      <c r="I17" s="32">
        <v>-5.0999999999999997E-2</v>
      </c>
      <c r="J17" s="31">
        <v>-6.8000000000000005E-2</v>
      </c>
      <c r="K17" s="32">
        <v>1.3999999999999999E-2</v>
      </c>
      <c r="L17" s="33">
        <v>0.192</v>
      </c>
      <c r="M17" s="24"/>
      <c r="N17" s="42" t="str">
        <f>P6</f>
        <v>[ETF 2]</v>
      </c>
      <c r="O17" s="43">
        <f>P8</f>
        <v>0.22782360704724103</v>
      </c>
      <c r="P17" s="44">
        <v>0</v>
      </c>
      <c r="S17" s="24"/>
      <c r="T17" s="24"/>
      <c r="U17" s="24"/>
      <c r="V17" s="24"/>
      <c r="W17" s="24"/>
      <c r="X17" s="24"/>
      <c r="Y17" s="24"/>
      <c r="Z17" s="45"/>
    </row>
    <row r="18" spans="1:27" ht="17.55" customHeight="1" x14ac:dyDescent="0.3">
      <c r="A18" s="19"/>
      <c r="B18" s="30"/>
      <c r="C18" s="31">
        <v>-2.4E-2</v>
      </c>
      <c r="D18" s="32">
        <v>-0.04</v>
      </c>
      <c r="E18" s="31">
        <v>-0.13500000000000001</v>
      </c>
      <c r="F18" s="32">
        <v>-8.1000000000000003E-2</v>
      </c>
      <c r="G18" s="31">
        <v>-8.5000000000000006E-2</v>
      </c>
      <c r="H18" s="32">
        <v>-7.2999999999999995E-2</v>
      </c>
      <c r="I18" s="32">
        <v>-6.6000000000000003E-2</v>
      </c>
      <c r="J18" s="31">
        <v>-7.4999999999999997E-2</v>
      </c>
      <c r="K18" s="32">
        <v>3.2000000000000001E-2</v>
      </c>
      <c r="L18" s="33">
        <v>0.02</v>
      </c>
      <c r="M18" s="24"/>
      <c r="N18" s="42" t="str">
        <f>Q6</f>
        <v>[ETF 3]</v>
      </c>
      <c r="O18" s="43">
        <f>Q8</f>
        <v>0.29082048471469646</v>
      </c>
      <c r="P18" s="44">
        <v>0</v>
      </c>
      <c r="S18" s="24"/>
      <c r="T18" s="24"/>
      <c r="U18" s="24"/>
      <c r="V18" s="24"/>
      <c r="W18" s="24"/>
      <c r="X18" s="24"/>
      <c r="Y18" s="24"/>
      <c r="Z18" s="46"/>
      <c r="AA18" s="24"/>
    </row>
    <row r="19" spans="1:27" ht="17.55" customHeight="1" x14ac:dyDescent="0.3">
      <c r="A19" s="19"/>
      <c r="B19" s="30"/>
      <c r="C19" s="31">
        <v>0.127</v>
      </c>
      <c r="D19" s="32">
        <v>0.17100000000000001</v>
      </c>
      <c r="E19" s="31">
        <v>0.2</v>
      </c>
      <c r="F19" s="32">
        <v>0.14599999999999999</v>
      </c>
      <c r="G19" s="31">
        <v>0.21100000000000002</v>
      </c>
      <c r="H19" s="32">
        <v>0.17800000000000002</v>
      </c>
      <c r="I19" s="32">
        <v>0.155</v>
      </c>
      <c r="J19" s="31">
        <v>0.16</v>
      </c>
      <c r="K19" s="32">
        <v>0.02</v>
      </c>
      <c r="L19" s="33">
        <v>3.7999999999999999E-2</v>
      </c>
      <c r="M19" s="24"/>
      <c r="N19" s="42" t="str">
        <f>R6</f>
        <v>[ETF 4]</v>
      </c>
      <c r="O19" s="43">
        <f>R8</f>
        <v>0.23600887454760944</v>
      </c>
      <c r="P19" s="44">
        <v>0</v>
      </c>
      <c r="S19" s="24"/>
      <c r="T19" s="24"/>
      <c r="U19" s="24"/>
      <c r="V19" s="24"/>
      <c r="W19" s="24"/>
      <c r="X19" s="24"/>
      <c r="Y19" s="24"/>
      <c r="Z19" s="46"/>
      <c r="AA19" s="24"/>
    </row>
    <row r="20" spans="1:27" ht="17.55" customHeight="1" x14ac:dyDescent="0.3">
      <c r="A20" s="19"/>
      <c r="B20" s="30"/>
      <c r="C20" s="31">
        <v>-6.0000000000000001E-3</v>
      </c>
      <c r="D20" s="32">
        <v>-1.9E-2</v>
      </c>
      <c r="E20" s="31">
        <v>4.0000000000000001E-3</v>
      </c>
      <c r="F20" s="32">
        <v>3.1E-2</v>
      </c>
      <c r="G20" s="31">
        <v>1.3999999999999999E-2</v>
      </c>
      <c r="H20" s="32">
        <v>-3.2000000000000001E-2</v>
      </c>
      <c r="I20" s="32">
        <v>-8.0000000000000002E-3</v>
      </c>
      <c r="J20" s="31">
        <v>-1.1000000000000001E-2</v>
      </c>
      <c r="K20" s="32">
        <v>3.4000000000000002E-2</v>
      </c>
      <c r="L20" s="33">
        <v>3.5000000000000003E-2</v>
      </c>
      <c r="M20" s="24"/>
      <c r="N20" s="42" t="str">
        <f>S6</f>
        <v>[ETF 5]</v>
      </c>
      <c r="O20" s="43">
        <f>S8</f>
        <v>0.25084540733605998</v>
      </c>
      <c r="P20" s="44">
        <v>0</v>
      </c>
      <c r="S20" s="24"/>
      <c r="T20" s="24"/>
      <c r="U20" s="24"/>
      <c r="V20" s="24"/>
      <c r="W20" s="24"/>
      <c r="X20" s="24"/>
      <c r="Y20" s="24"/>
      <c r="Z20" s="46"/>
      <c r="AA20" s="24"/>
    </row>
    <row r="21" spans="1:27" ht="17.55" customHeight="1" x14ac:dyDescent="0.3">
      <c r="A21" s="19"/>
      <c r="B21" s="30"/>
      <c r="C21" s="31">
        <v>8.1000000000000003E-2</v>
      </c>
      <c r="D21" s="32">
        <v>8.5999999999999993E-2</v>
      </c>
      <c r="E21" s="31">
        <v>9.6000000000000002E-2</v>
      </c>
      <c r="F21" s="32">
        <v>0.10199999999999999</v>
      </c>
      <c r="G21" s="31">
        <v>0.107</v>
      </c>
      <c r="H21" s="32">
        <v>9.3000000000000013E-2</v>
      </c>
      <c r="I21" s="32">
        <v>6.2E-2</v>
      </c>
      <c r="J21" s="31">
        <v>6.5000000000000002E-2</v>
      </c>
      <c r="K21" s="32">
        <v>0.02</v>
      </c>
      <c r="L21" s="33">
        <v>5.2000000000000005E-2</v>
      </c>
      <c r="M21" s="24"/>
      <c r="N21" s="42" t="str">
        <f>T6</f>
        <v>[ETF 6]</v>
      </c>
      <c r="O21" s="43">
        <f>T8</f>
        <v>0.25890770236156668</v>
      </c>
      <c r="P21" s="44">
        <v>0.16270999405369732</v>
      </c>
      <c r="S21" s="24"/>
      <c r="T21" s="24"/>
      <c r="U21" s="24"/>
      <c r="V21" s="24"/>
      <c r="W21" s="24"/>
      <c r="X21" s="24"/>
      <c r="Y21" s="24"/>
      <c r="Z21" s="46"/>
      <c r="AA21" s="24"/>
    </row>
    <row r="22" spans="1:27" ht="17.55" customHeight="1" x14ac:dyDescent="0.3">
      <c r="A22" s="19"/>
      <c r="B22" s="30"/>
      <c r="C22" s="31">
        <v>4.4000000000000004E-2</v>
      </c>
      <c r="D22" s="32">
        <v>3.7999999999999999E-2</v>
      </c>
      <c r="E22" s="31">
        <v>4.4999999999999998E-2</v>
      </c>
      <c r="F22" s="32">
        <v>0.13</v>
      </c>
      <c r="G22" s="31">
        <v>5.4000000000000006E-2</v>
      </c>
      <c r="H22" s="32">
        <v>5.2000000000000005E-2</v>
      </c>
      <c r="I22" s="32">
        <v>2.5000000000000001E-2</v>
      </c>
      <c r="J22" s="31">
        <v>5.0999999999999997E-2</v>
      </c>
      <c r="K22" s="32">
        <v>2.4E-2</v>
      </c>
      <c r="L22" s="33">
        <v>-2.3E-2</v>
      </c>
      <c r="M22" s="24"/>
      <c r="N22" s="42" t="str">
        <f>U6</f>
        <v>[ETF 7]</v>
      </c>
      <c r="O22" s="43">
        <f>U8</f>
        <v>0.21689599546340821</v>
      </c>
      <c r="P22" s="44">
        <v>0.25</v>
      </c>
      <c r="S22" s="24"/>
      <c r="T22" s="24"/>
      <c r="U22" s="24"/>
      <c r="V22" s="24"/>
      <c r="W22" s="24"/>
      <c r="X22" s="24"/>
      <c r="Y22" s="24"/>
      <c r="Z22" s="46"/>
      <c r="AA22" s="24"/>
    </row>
    <row r="23" spans="1:27" ht="17.55" customHeight="1" x14ac:dyDescent="0.3">
      <c r="A23" s="19"/>
      <c r="B23" s="30"/>
      <c r="C23" s="31">
        <v>-4.9000000000000002E-2</v>
      </c>
      <c r="D23" s="32">
        <v>-3.9E-2</v>
      </c>
      <c r="E23" s="31">
        <v>-0.158</v>
      </c>
      <c r="F23" s="32">
        <v>-0.125</v>
      </c>
      <c r="G23" s="31">
        <v>-7.9000000000000001E-2</v>
      </c>
      <c r="H23" s="32">
        <v>1.9E-2</v>
      </c>
      <c r="I23" s="32">
        <v>-5.7999999999999996E-2</v>
      </c>
      <c r="J23" s="31">
        <v>-8.5999999999999993E-2</v>
      </c>
      <c r="K23" s="32">
        <v>2.6000000000000002E-2</v>
      </c>
      <c r="L23" s="33">
        <v>-2.7999999999999997E-2</v>
      </c>
      <c r="M23" s="24"/>
      <c r="N23" s="42" t="str">
        <f>V6</f>
        <v>[ETF 8]</v>
      </c>
      <c r="O23" s="43">
        <f>V8</f>
        <v>0.20328180072639035</v>
      </c>
      <c r="P23" s="44">
        <v>0</v>
      </c>
      <c r="S23" s="24"/>
      <c r="T23" s="24"/>
      <c r="U23" s="24"/>
      <c r="V23" s="24"/>
      <c r="W23" s="24"/>
      <c r="X23" s="24"/>
      <c r="Y23" s="24"/>
      <c r="Z23" s="46"/>
      <c r="AA23" s="24"/>
    </row>
    <row r="24" spans="1:27" ht="17.55" customHeight="1" x14ac:dyDescent="0.3">
      <c r="A24" s="19"/>
      <c r="B24" s="30"/>
      <c r="C24" s="31">
        <v>1.8000000000000002E-2</v>
      </c>
      <c r="D24" s="32">
        <v>-6.0000000000000001E-3</v>
      </c>
      <c r="E24" s="31">
        <v>-6.9999999999999993E-3</v>
      </c>
      <c r="F24" s="32">
        <v>-1.7000000000000001E-2</v>
      </c>
      <c r="G24" s="31">
        <v>-3.1E-2</v>
      </c>
      <c r="H24" s="32">
        <v>2.1000000000000001E-2</v>
      </c>
      <c r="I24" s="32">
        <v>-3.0000000000000001E-3</v>
      </c>
      <c r="J24" s="31">
        <v>-4.0000000000000001E-3</v>
      </c>
      <c r="K24" s="32">
        <v>5.2000000000000005E-2</v>
      </c>
      <c r="L24" s="33">
        <v>-0.156</v>
      </c>
      <c r="M24" s="24"/>
      <c r="N24" s="42" t="str">
        <f>W6</f>
        <v>[ETF 9]</v>
      </c>
      <c r="O24" s="43">
        <f>W8</f>
        <v>9.137387398832808E-2</v>
      </c>
      <c r="P24" s="44">
        <v>0.25</v>
      </c>
      <c r="S24" s="24"/>
      <c r="T24" s="24"/>
      <c r="U24" s="24"/>
      <c r="V24" s="24"/>
      <c r="W24" s="24"/>
      <c r="X24" s="24"/>
      <c r="Y24" s="24"/>
      <c r="Z24" s="46"/>
      <c r="AA24" s="24"/>
    </row>
    <row r="25" spans="1:27" ht="17.55" customHeight="1" x14ac:dyDescent="0.3">
      <c r="A25" s="19"/>
      <c r="B25" s="30"/>
      <c r="C25" s="31">
        <v>1.3000000000000001E-2</v>
      </c>
      <c r="D25" s="32">
        <v>-1.1000000000000001E-2</v>
      </c>
      <c r="E25" s="31">
        <v>-4.4999999999999998E-2</v>
      </c>
      <c r="F25" s="32">
        <v>-8.4000000000000005E-2</v>
      </c>
      <c r="G25" s="31">
        <v>-4.2999999999999997E-2</v>
      </c>
      <c r="H25" s="32">
        <v>0.17</v>
      </c>
      <c r="I25" s="32">
        <v>-2.3E-2</v>
      </c>
      <c r="J25" s="31">
        <v>-7.2999999999999995E-2</v>
      </c>
      <c r="K25" s="32">
        <v>-6.6000000000000003E-2</v>
      </c>
      <c r="L25" s="33">
        <v>0.16</v>
      </c>
      <c r="M25" s="24"/>
      <c r="N25" s="47" t="str">
        <f>X6</f>
        <v>[ETF 10]</v>
      </c>
      <c r="O25" s="48">
        <f>X8</f>
        <v>0.12900961236584951</v>
      </c>
      <c r="P25" s="49">
        <v>0.25</v>
      </c>
      <c r="S25" s="24"/>
      <c r="T25" s="24"/>
      <c r="U25" s="24"/>
      <c r="V25" s="24"/>
      <c r="W25" s="24"/>
      <c r="X25" s="24"/>
      <c r="Y25" s="24"/>
      <c r="Z25" s="46"/>
      <c r="AA25" s="24"/>
    </row>
    <row r="26" spans="1:27" ht="17.55" customHeight="1" x14ac:dyDescent="0.3">
      <c r="A26" s="19"/>
      <c r="B26" s="50"/>
      <c r="C26" s="51">
        <v>0.1</v>
      </c>
      <c r="D26" s="52">
        <v>0.12300000000000001</v>
      </c>
      <c r="E26" s="51">
        <v>0.249</v>
      </c>
      <c r="F26" s="52">
        <v>0.13100000000000001</v>
      </c>
      <c r="G26" s="51">
        <v>0.19500000000000001</v>
      </c>
      <c r="H26" s="52">
        <v>0.16300000000000001</v>
      </c>
      <c r="I26" s="52">
        <v>0.154</v>
      </c>
      <c r="J26" s="51">
        <v>0.17100000000000001</v>
      </c>
      <c r="K26" s="52">
        <v>1.3000000000000001E-2</v>
      </c>
      <c r="L26" s="53">
        <v>-7.5999999999999998E-2</v>
      </c>
      <c r="M26" s="24"/>
      <c r="N26" s="24"/>
      <c r="P26" s="24"/>
      <c r="S26" s="24"/>
      <c r="T26" s="24"/>
      <c r="U26" s="24"/>
      <c r="V26" s="24"/>
      <c r="W26" s="24"/>
      <c r="X26" s="24"/>
      <c r="Y26" s="24"/>
      <c r="Z26" s="46"/>
      <c r="AA26" s="24"/>
    </row>
    <row r="27" spans="1:27" ht="17.55" customHeight="1" x14ac:dyDescent="0.3">
      <c r="C27" s="54"/>
      <c r="D27" s="54"/>
      <c r="E27" s="54"/>
      <c r="F27" s="54"/>
      <c r="G27" s="54"/>
      <c r="H27" s="54"/>
      <c r="I27" s="54"/>
      <c r="J27" s="54"/>
      <c r="K27" s="54"/>
      <c r="L27" s="54"/>
      <c r="N27" s="55" t="s">
        <v>26</v>
      </c>
      <c r="O27" s="56"/>
      <c r="P27" s="57">
        <v>0.25</v>
      </c>
      <c r="R27" s="34"/>
      <c r="S27" s="24"/>
      <c r="T27" s="24"/>
      <c r="U27" s="24"/>
      <c r="V27" s="24"/>
      <c r="W27" s="24"/>
      <c r="X27" s="24"/>
      <c r="Z27" s="46"/>
      <c r="AA27" s="24"/>
    </row>
    <row r="28" spans="1:27" ht="17.55" customHeight="1" x14ac:dyDescent="0.3">
      <c r="C28" s="54"/>
      <c r="D28" s="54"/>
      <c r="E28" s="54"/>
      <c r="F28" s="54"/>
      <c r="G28" s="54"/>
      <c r="H28" s="54"/>
      <c r="I28" s="54"/>
      <c r="J28" s="54"/>
      <c r="K28" s="54"/>
      <c r="L28" s="54"/>
      <c r="N28" s="55" t="s">
        <v>27</v>
      </c>
      <c r="O28" s="56"/>
      <c r="P28" s="58">
        <f>SUM(P16:P25)</f>
        <v>1.0000000003648157</v>
      </c>
      <c r="R28" s="34"/>
      <c r="Z28" s="45"/>
    </row>
    <row r="29" spans="1:27" ht="17.55" customHeight="1" x14ac:dyDescent="0.3">
      <c r="C29" s="54"/>
      <c r="D29" s="54"/>
      <c r="E29" s="54"/>
      <c r="F29" s="54"/>
      <c r="G29" s="54"/>
      <c r="H29" s="54"/>
      <c r="I29" s="54"/>
      <c r="J29" s="54"/>
      <c r="K29" s="54"/>
      <c r="L29" s="54"/>
      <c r="Q29" s="59"/>
      <c r="Z29" s="45"/>
    </row>
    <row r="30" spans="1:27" ht="17.55" customHeight="1" x14ac:dyDescent="0.3">
      <c r="C30" s="54"/>
      <c r="D30" s="54"/>
      <c r="E30" s="54"/>
      <c r="F30" s="54"/>
      <c r="G30" s="54"/>
      <c r="H30" s="54"/>
      <c r="I30" s="54"/>
      <c r="J30" s="54"/>
      <c r="K30" s="54"/>
      <c r="L30" s="54"/>
      <c r="N30" s="60" t="s">
        <v>28</v>
      </c>
      <c r="O30" s="61"/>
      <c r="P30" s="62">
        <f t="array" ref="P30">MMULT(TRANSPOSE(P16:P25),O16:O25)</f>
        <v>0.1710283432139286</v>
      </c>
      <c r="Q30" s="63"/>
      <c r="Z30" s="45"/>
    </row>
    <row r="31" spans="1:27" ht="17.55" customHeight="1" x14ac:dyDescent="0.3">
      <c r="C31" s="54"/>
      <c r="D31" s="54"/>
      <c r="E31" s="54"/>
      <c r="F31" s="54"/>
      <c r="G31" s="54"/>
      <c r="H31" s="54"/>
      <c r="I31" s="54"/>
      <c r="J31" s="54"/>
      <c r="K31" s="54"/>
      <c r="L31" s="54"/>
      <c r="N31" s="64" t="s">
        <v>29</v>
      </c>
      <c r="O31" s="65"/>
      <c r="P31" s="66">
        <f t="array" ref="P31">MMULT(MMULT(TRANSPOSE(P16:P25),AA7:AJ16),P16:P25)</f>
        <v>1.1214262590714341E-2</v>
      </c>
      <c r="Q31" s="24"/>
      <c r="Z31" s="45"/>
    </row>
    <row r="32" spans="1:27" ht="17.55" customHeight="1" x14ac:dyDescent="0.3">
      <c r="C32" s="54"/>
      <c r="D32" s="54"/>
      <c r="E32" s="54"/>
      <c r="F32" s="54"/>
      <c r="G32" s="54"/>
      <c r="H32" s="54"/>
      <c r="I32" s="54"/>
      <c r="J32" s="54"/>
      <c r="K32" s="54"/>
      <c r="L32" s="54"/>
      <c r="N32" s="64" t="s">
        <v>30</v>
      </c>
      <c r="O32" s="67"/>
      <c r="P32" s="68">
        <f>SQRT(P31)</f>
        <v>0.10589741541092654</v>
      </c>
      <c r="Z32" s="45"/>
    </row>
    <row r="33" spans="3:26" x14ac:dyDescent="0.3">
      <c r="C33" s="54"/>
      <c r="D33" s="54"/>
      <c r="E33" s="54"/>
      <c r="F33" s="54"/>
      <c r="G33" s="54"/>
      <c r="H33" s="54"/>
      <c r="I33" s="54"/>
      <c r="J33" s="54"/>
      <c r="K33" s="54"/>
      <c r="L33" s="54"/>
      <c r="N33" s="69" t="s">
        <v>31</v>
      </c>
      <c r="O33" s="3"/>
      <c r="P33" s="70">
        <f>(P30-M4)/P32</f>
        <v>0.85958984797410132</v>
      </c>
      <c r="Z33" s="45"/>
    </row>
  </sheetData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Portfolio_Optimization">
                <anchor moveWithCells="1" sizeWithCells="1">
                  <from>
                    <xdr:col>2</xdr:col>
                    <xdr:colOff>419100</xdr:colOff>
                    <xdr:row>2</xdr:row>
                    <xdr:rowOff>0</xdr:rowOff>
                  </from>
                  <to>
                    <xdr:col>9</xdr:col>
                    <xdr:colOff>571500</xdr:colOff>
                    <xdr:row>3</xdr:row>
                    <xdr:rowOff>198120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0F462-3F4F-46E7-9317-5A66A1093EFE}">
  <sheetPr>
    <tabColor theme="3"/>
  </sheetPr>
  <dimension ref="A1:BJ56"/>
  <sheetViews>
    <sheetView showGridLines="0" topLeftCell="A10" zoomScale="70" zoomScaleNormal="70" workbookViewId="0">
      <selection activeCell="J48" sqref="J48"/>
    </sheetView>
  </sheetViews>
  <sheetFormatPr defaultRowHeight="15.6" x14ac:dyDescent="0.3"/>
  <cols>
    <col min="1" max="1" width="3" customWidth="1"/>
    <col min="2" max="2" width="20.3984375" customWidth="1"/>
    <col min="3" max="3" width="16.59765625" customWidth="1"/>
    <col min="4" max="5" width="10.5" bestFit="1" customWidth="1"/>
    <col min="6" max="6" width="10.796875" bestFit="1" customWidth="1"/>
    <col min="7" max="8" width="10.5" bestFit="1" customWidth="1"/>
    <col min="9" max="9" width="9.69921875" bestFit="1" customWidth="1"/>
    <col min="10" max="10" width="10.3984375" bestFit="1" customWidth="1"/>
    <col min="11" max="12" width="9.69921875" bestFit="1" customWidth="1"/>
    <col min="13" max="13" width="9.59765625" bestFit="1" customWidth="1"/>
  </cols>
  <sheetData>
    <row r="1" spans="1:62" ht="25.8" x14ac:dyDescent="0.5">
      <c r="A1" s="1" t="s">
        <v>93</v>
      </c>
      <c r="B1" s="2"/>
      <c r="C1" s="2"/>
      <c r="D1" s="2" t="s">
        <v>94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</row>
    <row r="2" spans="1:62" ht="16.2" thickBot="1" x14ac:dyDescent="0.35"/>
    <row r="3" spans="1:62" x14ac:dyDescent="0.3">
      <c r="B3" s="166" t="s">
        <v>95</v>
      </c>
      <c r="C3" s="167"/>
    </row>
    <row r="4" spans="1:62" x14ac:dyDescent="0.3">
      <c r="B4" s="168" t="s">
        <v>96</v>
      </c>
      <c r="C4" s="169">
        <v>77</v>
      </c>
      <c r="D4" s="170"/>
    </row>
    <row r="5" spans="1:62" x14ac:dyDescent="0.3">
      <c r="B5" s="168" t="s">
        <v>97</v>
      </c>
      <c r="C5" s="171">
        <v>0.25209999999999999</v>
      </c>
      <c r="D5" s="170"/>
    </row>
    <row r="6" spans="1:62" x14ac:dyDescent="0.3">
      <c r="B6" s="168" t="s">
        <v>98</v>
      </c>
      <c r="C6" s="171">
        <v>6.2E-2</v>
      </c>
      <c r="D6" s="170"/>
    </row>
    <row r="7" spans="1:62" ht="16.2" thickBot="1" x14ac:dyDescent="0.35">
      <c r="B7" s="172" t="s">
        <v>99</v>
      </c>
      <c r="C7" s="173">
        <v>0.01</v>
      </c>
      <c r="D7" s="170"/>
    </row>
    <row r="8" spans="1:62" ht="16.2" thickBot="1" x14ac:dyDescent="0.35">
      <c r="D8" s="170"/>
    </row>
    <row r="9" spans="1:62" ht="16.2" thickBot="1" x14ac:dyDescent="0.35">
      <c r="B9" s="174" t="s">
        <v>100</v>
      </c>
      <c r="C9" s="175">
        <f>M56</f>
        <v>81.042117195367041</v>
      </c>
    </row>
    <row r="10" spans="1:62" ht="16.2" thickBot="1" x14ac:dyDescent="0.35"/>
    <row r="11" spans="1:62" x14ac:dyDescent="0.3">
      <c r="B11" s="166" t="s">
        <v>101</v>
      </c>
      <c r="C11" s="176" t="s">
        <v>102</v>
      </c>
      <c r="D11" s="176" t="s">
        <v>103</v>
      </c>
      <c r="E11" s="176" t="s">
        <v>104</v>
      </c>
      <c r="F11" s="177" t="s">
        <v>105</v>
      </c>
    </row>
    <row r="12" spans="1:62" x14ac:dyDescent="0.3">
      <c r="B12" s="178">
        <v>0</v>
      </c>
      <c r="C12" s="179"/>
      <c r="D12" s="179"/>
      <c r="E12" s="179"/>
      <c r="F12" s="180">
        <f>S0</f>
        <v>77</v>
      </c>
    </row>
    <row r="13" spans="1:62" x14ac:dyDescent="0.3">
      <c r="B13" s="181">
        <f t="shared" ref="B13:B32" si="0">B12+$C$7</f>
        <v>0.01</v>
      </c>
      <c r="C13" s="182">
        <f>mu*dt*F12</f>
        <v>4.7739999999999998E-2</v>
      </c>
      <c r="D13" s="182">
        <f ca="1">_xlfn.NORM.INV(RAND(),0,1)*SQRT(dt)*sigma*F12</f>
        <v>-0.70627099196066578</v>
      </c>
      <c r="E13" s="182">
        <f ca="1">D13+C13</f>
        <v>-0.65853099196066578</v>
      </c>
      <c r="F13" s="180">
        <f ca="1">E13+F12</f>
        <v>76.34146900803934</v>
      </c>
    </row>
    <row r="14" spans="1:62" x14ac:dyDescent="0.3">
      <c r="B14" s="181">
        <f t="shared" si="0"/>
        <v>0.02</v>
      </c>
      <c r="C14" s="182">
        <f t="shared" ref="C14:C32" ca="1" si="1">mu*dt*F13</f>
        <v>4.7331710784984389E-2</v>
      </c>
      <c r="D14" s="182">
        <f ca="1">_xlfn.NORM.INV(RAND(),0,1)*SQRT(dt)*sigma*F13</f>
        <v>0.29990055103351404</v>
      </c>
      <c r="E14" s="182">
        <f t="shared" ref="E14:E32" ca="1" si="2">D14+C14</f>
        <v>0.34723226181849842</v>
      </c>
      <c r="F14" s="180">
        <f t="shared" ref="F14:F32" ca="1" si="3">E14+F13</f>
        <v>76.688701269857845</v>
      </c>
    </row>
    <row r="15" spans="1:62" x14ac:dyDescent="0.3">
      <c r="B15" s="181">
        <f t="shared" si="0"/>
        <v>0.03</v>
      </c>
      <c r="C15" s="182">
        <f t="shared" ca="1" si="1"/>
        <v>4.7546994787311864E-2</v>
      </c>
      <c r="D15" s="182">
        <f t="shared" ref="D15:D32" ca="1" si="4">_xlfn.NORM.INV(RAND(),0,1)*SQRT(dt)*sigma*F14</f>
        <v>1.2456219132647919</v>
      </c>
      <c r="E15" s="182">
        <f t="shared" ca="1" si="2"/>
        <v>1.2931689080521038</v>
      </c>
      <c r="F15" s="180">
        <f t="shared" ca="1" si="3"/>
        <v>77.981870177909954</v>
      </c>
    </row>
    <row r="16" spans="1:62" x14ac:dyDescent="0.3">
      <c r="B16" s="181">
        <f t="shared" si="0"/>
        <v>0.04</v>
      </c>
      <c r="C16" s="182">
        <f t="shared" ca="1" si="1"/>
        <v>4.8348759510304172E-2</v>
      </c>
      <c r="D16" s="182">
        <f t="shared" ca="1" si="4"/>
        <v>0.93075506285189091</v>
      </c>
      <c r="E16" s="182">
        <f t="shared" ca="1" si="2"/>
        <v>0.97910382236219506</v>
      </c>
      <c r="F16" s="180">
        <f t="shared" ca="1" si="3"/>
        <v>78.960974000272145</v>
      </c>
    </row>
    <row r="17" spans="2:6" x14ac:dyDescent="0.3">
      <c r="B17" s="181">
        <f t="shared" si="0"/>
        <v>0.05</v>
      </c>
      <c r="C17" s="182">
        <f t="shared" ca="1" si="1"/>
        <v>4.8955803880168729E-2</v>
      </c>
      <c r="D17" s="182">
        <f t="shared" ca="1" si="4"/>
        <v>2.4748135323176679</v>
      </c>
      <c r="E17" s="182">
        <f t="shared" ca="1" si="2"/>
        <v>2.5237693361978364</v>
      </c>
      <c r="F17" s="180">
        <f t="shared" ca="1" si="3"/>
        <v>81.484743336469975</v>
      </c>
    </row>
    <row r="18" spans="2:6" x14ac:dyDescent="0.3">
      <c r="B18" s="181">
        <f t="shared" si="0"/>
        <v>6.0000000000000005E-2</v>
      </c>
      <c r="C18" s="182">
        <f t="shared" ca="1" si="1"/>
        <v>5.0520540868611387E-2</v>
      </c>
      <c r="D18" s="182">
        <f t="shared" ca="1" si="4"/>
        <v>-3.0887004087740104</v>
      </c>
      <c r="E18" s="182">
        <f t="shared" ca="1" si="2"/>
        <v>-3.0381798679053991</v>
      </c>
      <c r="F18" s="180">
        <f t="shared" ca="1" si="3"/>
        <v>78.446563468564577</v>
      </c>
    </row>
    <row r="19" spans="2:6" x14ac:dyDescent="0.3">
      <c r="B19" s="181">
        <f t="shared" si="0"/>
        <v>7.0000000000000007E-2</v>
      </c>
      <c r="C19" s="182">
        <f t="shared" ca="1" si="1"/>
        <v>4.8636869350510037E-2</v>
      </c>
      <c r="D19" s="182">
        <f t="shared" ca="1" si="4"/>
        <v>-0.17045874740564046</v>
      </c>
      <c r="E19" s="182">
        <f t="shared" ca="1" si="2"/>
        <v>-0.12182187805513042</v>
      </c>
      <c r="F19" s="180">
        <f t="shared" ca="1" si="3"/>
        <v>78.324741590509447</v>
      </c>
    </row>
    <row r="20" spans="2:6" x14ac:dyDescent="0.3">
      <c r="B20" s="181">
        <f t="shared" si="0"/>
        <v>0.08</v>
      </c>
      <c r="C20" s="182">
        <f t="shared" ca="1" si="1"/>
        <v>4.8561339786115855E-2</v>
      </c>
      <c r="D20" s="182">
        <f t="shared" ca="1" si="4"/>
        <v>0.56136117561072596</v>
      </c>
      <c r="E20" s="182">
        <f t="shared" ca="1" si="2"/>
        <v>0.60992251539684184</v>
      </c>
      <c r="F20" s="180">
        <f t="shared" ca="1" si="3"/>
        <v>78.934664105906293</v>
      </c>
    </row>
    <row r="21" spans="2:6" x14ac:dyDescent="0.3">
      <c r="B21" s="181">
        <f t="shared" si="0"/>
        <v>0.09</v>
      </c>
      <c r="C21" s="182">
        <f t="shared" ca="1" si="1"/>
        <v>4.8939491745661902E-2</v>
      </c>
      <c r="D21" s="182">
        <f t="shared" ca="1" si="4"/>
        <v>0.83912924074231554</v>
      </c>
      <c r="E21" s="182">
        <f t="shared" ca="1" si="2"/>
        <v>0.88806873248797746</v>
      </c>
      <c r="F21" s="180">
        <f t="shared" ca="1" si="3"/>
        <v>79.822732838394273</v>
      </c>
    </row>
    <row r="22" spans="2:6" x14ac:dyDescent="0.3">
      <c r="B22" s="181">
        <f t="shared" si="0"/>
        <v>9.9999999999999992E-2</v>
      </c>
      <c r="C22" s="182">
        <f t="shared" ca="1" si="1"/>
        <v>4.9490094359804448E-2</v>
      </c>
      <c r="D22" s="182">
        <f t="shared" ca="1" si="4"/>
        <v>1.2224453102271553</v>
      </c>
      <c r="E22" s="182">
        <f t="shared" ca="1" si="2"/>
        <v>1.2719354045869598</v>
      </c>
      <c r="F22" s="180">
        <f t="shared" ca="1" si="3"/>
        <v>81.094668242981228</v>
      </c>
    </row>
    <row r="23" spans="2:6" x14ac:dyDescent="0.3">
      <c r="B23" s="181">
        <f t="shared" si="0"/>
        <v>0.10999999999999999</v>
      </c>
      <c r="C23" s="182">
        <f t="shared" ca="1" si="1"/>
        <v>5.027869431064836E-2</v>
      </c>
      <c r="D23" s="182">
        <f t="shared" ca="1" si="4"/>
        <v>1.7598485876747751</v>
      </c>
      <c r="E23" s="182">
        <f t="shared" ca="1" si="2"/>
        <v>1.8101272819854235</v>
      </c>
      <c r="F23" s="180">
        <f t="shared" ca="1" si="3"/>
        <v>82.904795524966659</v>
      </c>
    </row>
    <row r="24" spans="2:6" x14ac:dyDescent="0.3">
      <c r="B24" s="181">
        <f t="shared" si="0"/>
        <v>0.11999999999999998</v>
      </c>
      <c r="C24" s="182">
        <f t="shared" ca="1" si="1"/>
        <v>5.1400973225479325E-2</v>
      </c>
      <c r="D24" s="182">
        <f t="shared" ca="1" si="4"/>
        <v>0.17204880879649806</v>
      </c>
      <c r="E24" s="182">
        <f t="shared" ca="1" si="2"/>
        <v>0.22344978202197738</v>
      </c>
      <c r="F24" s="180">
        <f t="shared" ca="1" si="3"/>
        <v>83.128245306988632</v>
      </c>
    </row>
    <row r="25" spans="2:6" x14ac:dyDescent="0.3">
      <c r="B25" s="181">
        <f t="shared" si="0"/>
        <v>0.12999999999999998</v>
      </c>
      <c r="C25" s="182">
        <f t="shared" ca="1" si="1"/>
        <v>5.1539512090332952E-2</v>
      </c>
      <c r="D25" s="182">
        <f t="shared" ca="1" si="4"/>
        <v>-1.2596820770849104</v>
      </c>
      <c r="E25" s="182">
        <f t="shared" ca="1" si="2"/>
        <v>-1.2081425649945774</v>
      </c>
      <c r="F25" s="180">
        <f t="shared" ca="1" si="3"/>
        <v>81.920102741994057</v>
      </c>
    </row>
    <row r="26" spans="2:6" x14ac:dyDescent="0.3">
      <c r="B26" s="181">
        <f t="shared" si="0"/>
        <v>0.13999999999999999</v>
      </c>
      <c r="C26" s="182">
        <f t="shared" ca="1" si="1"/>
        <v>5.0790463700036315E-2</v>
      </c>
      <c r="D26" s="182">
        <f t="shared" ca="1" si="4"/>
        <v>-1.500149418551175</v>
      </c>
      <c r="E26" s="182">
        <f t="shared" ca="1" si="2"/>
        <v>-1.4493589548511387</v>
      </c>
      <c r="F26" s="180">
        <f t="shared" ca="1" si="3"/>
        <v>80.470743787142922</v>
      </c>
    </row>
    <row r="27" spans="2:6" x14ac:dyDescent="0.3">
      <c r="B27" s="181">
        <f t="shared" si="0"/>
        <v>0.15</v>
      </c>
      <c r="C27" s="182">
        <f t="shared" ca="1" si="1"/>
        <v>4.9891861148028613E-2</v>
      </c>
      <c r="D27" s="182">
        <f t="shared" ca="1" si="4"/>
        <v>0.11222028703936811</v>
      </c>
      <c r="E27" s="182">
        <f t="shared" ca="1" si="2"/>
        <v>0.16211214818739672</v>
      </c>
      <c r="F27" s="180">
        <f t="shared" ca="1" si="3"/>
        <v>80.632855935330312</v>
      </c>
    </row>
    <row r="28" spans="2:6" x14ac:dyDescent="0.3">
      <c r="B28" s="181">
        <f t="shared" si="0"/>
        <v>0.16</v>
      </c>
      <c r="C28" s="182">
        <f t="shared" ca="1" si="1"/>
        <v>4.9992370679904793E-2</v>
      </c>
      <c r="D28" s="182">
        <f t="shared" ca="1" si="4"/>
        <v>0.67167364897026249</v>
      </c>
      <c r="E28" s="182">
        <f t="shared" ca="1" si="2"/>
        <v>0.7216660196501673</v>
      </c>
      <c r="F28" s="180">
        <f t="shared" ca="1" si="3"/>
        <v>81.354521954980484</v>
      </c>
    </row>
    <row r="29" spans="2:6" x14ac:dyDescent="0.3">
      <c r="B29" s="181">
        <f t="shared" si="0"/>
        <v>0.17</v>
      </c>
      <c r="C29" s="182">
        <f t="shared" ca="1" si="1"/>
        <v>5.04398036120879E-2</v>
      </c>
      <c r="D29" s="182">
        <f t="shared" ca="1" si="4"/>
        <v>0.80467281276995872</v>
      </c>
      <c r="E29" s="182">
        <f t="shared" ca="1" si="2"/>
        <v>0.85511261638204661</v>
      </c>
      <c r="F29" s="180">
        <f t="shared" ca="1" si="3"/>
        <v>82.209634571362528</v>
      </c>
    </row>
    <row r="30" spans="2:6" x14ac:dyDescent="0.3">
      <c r="B30" s="181">
        <f t="shared" si="0"/>
        <v>0.18000000000000002</v>
      </c>
      <c r="C30" s="182">
        <f t="shared" ca="1" si="1"/>
        <v>5.0969973434244767E-2</v>
      </c>
      <c r="D30" s="182">
        <f t="shared" ca="1" si="4"/>
        <v>-3.6327558241489082</v>
      </c>
      <c r="E30" s="182">
        <f t="shared" ca="1" si="2"/>
        <v>-3.5817858507146636</v>
      </c>
      <c r="F30" s="180">
        <f t="shared" ca="1" si="3"/>
        <v>78.627848720647862</v>
      </c>
    </row>
    <row r="31" spans="2:6" x14ac:dyDescent="0.3">
      <c r="B31" s="181">
        <f t="shared" si="0"/>
        <v>0.19000000000000003</v>
      </c>
      <c r="C31" s="182">
        <f t="shared" ca="1" si="1"/>
        <v>4.8749266206801672E-2</v>
      </c>
      <c r="D31" s="182">
        <f t="shared" ca="1" si="4"/>
        <v>-1.3372254065373488</v>
      </c>
      <c r="E31" s="182">
        <f t="shared" ca="1" si="2"/>
        <v>-1.2884761403305471</v>
      </c>
      <c r="F31" s="180">
        <f t="shared" ca="1" si="3"/>
        <v>77.339372580317317</v>
      </c>
    </row>
    <row r="32" spans="2:6" ht="16.2" thickBot="1" x14ac:dyDescent="0.35">
      <c r="B32" s="183">
        <f t="shared" si="0"/>
        <v>0.20000000000000004</v>
      </c>
      <c r="C32" s="184">
        <f t="shared" ca="1" si="1"/>
        <v>4.7950410999796737E-2</v>
      </c>
      <c r="D32" s="184">
        <f t="shared" ca="1" si="4"/>
        <v>1.1308362480867209</v>
      </c>
      <c r="E32" s="184">
        <f t="shared" ca="1" si="2"/>
        <v>1.1787866590865177</v>
      </c>
      <c r="F32" s="185">
        <f t="shared" ca="1" si="3"/>
        <v>78.518159239403829</v>
      </c>
    </row>
    <row r="34" spans="2:13" x14ac:dyDescent="0.3">
      <c r="C34" t="s">
        <v>106</v>
      </c>
    </row>
    <row r="35" spans="2:13" x14ac:dyDescent="0.3">
      <c r="C35" s="186" t="s">
        <v>107</v>
      </c>
      <c r="D35" s="186" t="s">
        <v>108</v>
      </c>
      <c r="E35" s="186" t="s">
        <v>109</v>
      </c>
      <c r="F35" s="186" t="s">
        <v>110</v>
      </c>
      <c r="G35" s="186" t="s">
        <v>111</v>
      </c>
      <c r="H35" s="186" t="s">
        <v>112</v>
      </c>
      <c r="I35" s="186" t="s">
        <v>113</v>
      </c>
      <c r="J35" s="186" t="s">
        <v>114</v>
      </c>
      <c r="K35" s="186" t="s">
        <v>115</v>
      </c>
      <c r="L35" s="186" t="s">
        <v>116</v>
      </c>
      <c r="M35" s="186" t="s">
        <v>117</v>
      </c>
    </row>
    <row r="36" spans="2:13" x14ac:dyDescent="0.3">
      <c r="B36" s="187"/>
      <c r="C36" s="187">
        <v>77</v>
      </c>
      <c r="D36" s="187">
        <v>77</v>
      </c>
      <c r="E36" s="187">
        <v>77</v>
      </c>
      <c r="F36" s="187">
        <v>77</v>
      </c>
      <c r="G36" s="187">
        <v>77</v>
      </c>
      <c r="H36" s="187">
        <v>77</v>
      </c>
      <c r="I36" s="187">
        <v>77</v>
      </c>
      <c r="J36" s="187">
        <v>77</v>
      </c>
      <c r="K36" s="187">
        <v>77</v>
      </c>
      <c r="L36" s="187">
        <v>77</v>
      </c>
      <c r="M36" s="187">
        <f>AVERAGE(C36:L36)</f>
        <v>77</v>
      </c>
    </row>
    <row r="37" spans="2:13" x14ac:dyDescent="0.3">
      <c r="B37" s="187">
        <v>1.5906486138865621</v>
      </c>
      <c r="C37" s="187">
        <v>76.401040794911751</v>
      </c>
      <c r="D37" s="187">
        <v>76.562695191088736</v>
      </c>
      <c r="E37" s="187">
        <v>80.258901924017607</v>
      </c>
      <c r="F37" s="187">
        <v>77.649906285074096</v>
      </c>
      <c r="G37" s="187">
        <v>77.250164051900157</v>
      </c>
      <c r="H37" s="187">
        <v>75.986677955165675</v>
      </c>
      <c r="I37" s="187">
        <v>80.366122723116092</v>
      </c>
      <c r="J37" s="187">
        <v>75.468746864684903</v>
      </c>
      <c r="K37" s="187">
        <v>77.789258693500457</v>
      </c>
      <c r="L37" s="187">
        <v>79.47393565790756</v>
      </c>
      <c r="M37" s="187">
        <f t="shared" ref="M37:M56" si="5">AVERAGE(C37:L37)</f>
        <v>77.720745014136696</v>
      </c>
    </row>
    <row r="38" spans="2:13" x14ac:dyDescent="0.3">
      <c r="B38" s="187">
        <f t="shared" ref="B38:B56" si="6">B14</f>
        <v>0.02</v>
      </c>
      <c r="C38" s="187">
        <v>78.099550104795426</v>
      </c>
      <c r="D38" s="187">
        <v>75.112812928186528</v>
      </c>
      <c r="E38" s="187">
        <v>79.062496671995177</v>
      </c>
      <c r="F38" s="187">
        <v>78.201163320574977</v>
      </c>
      <c r="G38" s="187">
        <v>72.852930863628515</v>
      </c>
      <c r="H38" s="187">
        <v>79.192908461334127</v>
      </c>
      <c r="I38" s="187">
        <v>82.588367178947237</v>
      </c>
      <c r="J38" s="187">
        <v>74.177948381133731</v>
      </c>
      <c r="K38" s="187">
        <v>76.340042262837912</v>
      </c>
      <c r="L38" s="187">
        <v>78.972179940768712</v>
      </c>
      <c r="M38" s="187">
        <f t="shared" si="5"/>
        <v>77.460040011420233</v>
      </c>
    </row>
    <row r="39" spans="2:13" x14ac:dyDescent="0.3">
      <c r="B39" s="187">
        <f t="shared" si="6"/>
        <v>0.03</v>
      </c>
      <c r="C39" s="187">
        <v>78.83116737599839</v>
      </c>
      <c r="D39" s="187">
        <v>72.259933985044086</v>
      </c>
      <c r="E39" s="187">
        <v>80.336979307060091</v>
      </c>
      <c r="F39" s="187">
        <v>75.982293864543536</v>
      </c>
      <c r="G39" s="187">
        <v>70.383150431569163</v>
      </c>
      <c r="H39" s="187">
        <v>81.133513474223278</v>
      </c>
      <c r="I39" s="187">
        <v>83.38919259585883</v>
      </c>
      <c r="J39" s="187">
        <v>75.426611848760459</v>
      </c>
      <c r="K39" s="187">
        <v>74.221630389715585</v>
      </c>
      <c r="L39" s="187">
        <v>75.525985951830975</v>
      </c>
      <c r="M39" s="187">
        <f t="shared" si="5"/>
        <v>76.749045922460439</v>
      </c>
    </row>
    <row r="40" spans="2:13" x14ac:dyDescent="0.3">
      <c r="B40" s="187">
        <f t="shared" si="6"/>
        <v>0.04</v>
      </c>
      <c r="C40" s="187">
        <v>81.255209270278371</v>
      </c>
      <c r="D40" s="187">
        <v>72.674768736344959</v>
      </c>
      <c r="E40" s="187">
        <v>79.848488780665051</v>
      </c>
      <c r="F40" s="187">
        <v>75.563013147451841</v>
      </c>
      <c r="G40" s="187">
        <v>70.482358878160397</v>
      </c>
      <c r="H40" s="187">
        <v>81.169440843045265</v>
      </c>
      <c r="I40" s="187">
        <v>81.932079161144713</v>
      </c>
      <c r="J40" s="187">
        <v>77.793556532725319</v>
      </c>
      <c r="K40" s="187">
        <v>77.284085748012458</v>
      </c>
      <c r="L40" s="187">
        <v>78.183827035734851</v>
      </c>
      <c r="M40" s="187">
        <f t="shared" si="5"/>
        <v>77.61868281335633</v>
      </c>
    </row>
    <row r="41" spans="2:13" x14ac:dyDescent="0.3">
      <c r="B41" s="187">
        <f t="shared" si="6"/>
        <v>0.05</v>
      </c>
      <c r="C41" s="187">
        <v>80.775086944439252</v>
      </c>
      <c r="D41" s="187">
        <v>72.477983411411955</v>
      </c>
      <c r="E41" s="187">
        <v>79.620762421113355</v>
      </c>
      <c r="F41" s="187">
        <v>74.159740494800886</v>
      </c>
      <c r="G41" s="187">
        <v>70.967667279747843</v>
      </c>
      <c r="H41" s="187">
        <v>81.793262275486171</v>
      </c>
      <c r="I41" s="187">
        <v>79.448730931662823</v>
      </c>
      <c r="J41" s="187">
        <v>76.80360926097849</v>
      </c>
      <c r="K41" s="187">
        <v>75.807312661844009</v>
      </c>
      <c r="L41" s="187">
        <v>80.516863378867328</v>
      </c>
      <c r="M41" s="187">
        <f t="shared" si="5"/>
        <v>77.237101906035207</v>
      </c>
    </row>
    <row r="42" spans="2:13" x14ac:dyDescent="0.3">
      <c r="B42" s="187">
        <f t="shared" si="6"/>
        <v>6.0000000000000005E-2</v>
      </c>
      <c r="C42" s="187">
        <v>76.59358119106281</v>
      </c>
      <c r="D42" s="187">
        <v>73.445079874313578</v>
      </c>
      <c r="E42" s="187">
        <v>81.618951064452503</v>
      </c>
      <c r="F42" s="187">
        <v>75.279931992316378</v>
      </c>
      <c r="G42" s="187">
        <v>74.899411158571127</v>
      </c>
      <c r="H42" s="187">
        <v>82.805543956455864</v>
      </c>
      <c r="I42" s="187">
        <v>82.009716711624236</v>
      </c>
      <c r="J42" s="187">
        <v>79.14816497191498</v>
      </c>
      <c r="K42" s="187">
        <v>75.488470094299984</v>
      </c>
      <c r="L42" s="187">
        <v>80.752575858225697</v>
      </c>
      <c r="M42" s="187">
        <f t="shared" si="5"/>
        <v>78.20414268732371</v>
      </c>
    </row>
    <row r="43" spans="2:13" x14ac:dyDescent="0.3">
      <c r="B43" s="187">
        <f t="shared" si="6"/>
        <v>7.0000000000000007E-2</v>
      </c>
      <c r="C43" s="187">
        <v>73.286708347342568</v>
      </c>
      <c r="D43" s="187">
        <v>76.250140156575966</v>
      </c>
      <c r="E43" s="187">
        <v>80.193665144019505</v>
      </c>
      <c r="F43" s="187">
        <v>73.070129899909986</v>
      </c>
      <c r="G43" s="187">
        <v>74.241215477155649</v>
      </c>
      <c r="H43" s="187">
        <v>87.283674072518522</v>
      </c>
      <c r="I43" s="187">
        <v>83.893926450969715</v>
      </c>
      <c r="J43" s="187">
        <v>80.157563158451126</v>
      </c>
      <c r="K43" s="187">
        <v>76.337214824119869</v>
      </c>
      <c r="L43" s="187">
        <v>79.392839428538608</v>
      </c>
      <c r="M43" s="187">
        <f t="shared" si="5"/>
        <v>78.410707695960156</v>
      </c>
    </row>
    <row r="44" spans="2:13" x14ac:dyDescent="0.3">
      <c r="B44" s="187">
        <f t="shared" si="6"/>
        <v>0.08</v>
      </c>
      <c r="C44" s="187">
        <v>74.135722954586356</v>
      </c>
      <c r="D44" s="187">
        <v>76.056420920904728</v>
      </c>
      <c r="E44" s="187">
        <v>80.919167135906093</v>
      </c>
      <c r="F44" s="187">
        <v>72.989294229264189</v>
      </c>
      <c r="G44" s="187">
        <v>75.699843917577127</v>
      </c>
      <c r="H44" s="187">
        <v>92.640912674410686</v>
      </c>
      <c r="I44" s="187">
        <v>83.834925586322981</v>
      </c>
      <c r="J44" s="187">
        <v>81.515795163585935</v>
      </c>
      <c r="K44" s="187">
        <v>80.38218952974151</v>
      </c>
      <c r="L44" s="187">
        <v>79.128680243047484</v>
      </c>
      <c r="M44" s="187">
        <f t="shared" si="5"/>
        <v>79.730295235534712</v>
      </c>
    </row>
    <row r="45" spans="2:13" x14ac:dyDescent="0.3">
      <c r="B45" s="187">
        <f t="shared" si="6"/>
        <v>0.09</v>
      </c>
      <c r="C45" s="187">
        <v>77.240131254790327</v>
      </c>
      <c r="D45" s="187">
        <v>76.536948064516992</v>
      </c>
      <c r="E45" s="187">
        <v>77.366016686326219</v>
      </c>
      <c r="F45" s="187">
        <v>72.406447457782917</v>
      </c>
      <c r="G45" s="187">
        <v>79.044216043579468</v>
      </c>
      <c r="H45" s="187">
        <v>91.129959639296317</v>
      </c>
      <c r="I45" s="187">
        <v>88.226919656174459</v>
      </c>
      <c r="J45" s="187">
        <v>80.008633576008563</v>
      </c>
      <c r="K45" s="187">
        <v>79.157952125821694</v>
      </c>
      <c r="L45" s="187">
        <v>80.040369523010526</v>
      </c>
      <c r="M45" s="187">
        <f t="shared" si="5"/>
        <v>80.11575940273076</v>
      </c>
    </row>
    <row r="46" spans="2:13" x14ac:dyDescent="0.3">
      <c r="B46" s="187">
        <f t="shared" si="6"/>
        <v>9.9999999999999992E-2</v>
      </c>
      <c r="C46" s="187">
        <v>76.901727038724715</v>
      </c>
      <c r="D46" s="187">
        <v>77.335294388889125</v>
      </c>
      <c r="E46" s="187">
        <v>78.666079460216693</v>
      </c>
      <c r="F46" s="187">
        <v>71.187174824124838</v>
      </c>
      <c r="G46" s="187">
        <v>76.990921603932478</v>
      </c>
      <c r="H46" s="187">
        <v>88.956782172193883</v>
      </c>
      <c r="I46" s="187">
        <v>89.112593237559423</v>
      </c>
      <c r="J46" s="187">
        <v>76.869552272794394</v>
      </c>
      <c r="K46" s="187">
        <v>80.394882169246571</v>
      </c>
      <c r="L46" s="187">
        <v>77.663463055467034</v>
      </c>
      <c r="M46" s="187">
        <f t="shared" si="5"/>
        <v>79.407847022314911</v>
      </c>
    </row>
    <row r="47" spans="2:13" x14ac:dyDescent="0.3">
      <c r="B47" s="187">
        <f t="shared" si="6"/>
        <v>0.10999999999999999</v>
      </c>
      <c r="C47" s="187">
        <v>77.127015128805809</v>
      </c>
      <c r="D47" s="187">
        <v>78.289810906701149</v>
      </c>
      <c r="E47" s="187">
        <v>78.102698674850373</v>
      </c>
      <c r="F47" s="187">
        <v>73.242850984167546</v>
      </c>
      <c r="G47" s="187">
        <v>73.634969801767795</v>
      </c>
      <c r="H47" s="187">
        <v>90.430153804448196</v>
      </c>
      <c r="I47" s="187">
        <v>91.933950150181019</v>
      </c>
      <c r="J47" s="187">
        <v>78.998012153615662</v>
      </c>
      <c r="K47" s="187">
        <v>81.578989020119252</v>
      </c>
      <c r="L47" s="187">
        <v>74.973747408835266</v>
      </c>
      <c r="M47" s="187">
        <f t="shared" si="5"/>
        <v>79.831219803349214</v>
      </c>
    </row>
    <row r="48" spans="2:13" x14ac:dyDescent="0.3">
      <c r="B48" s="187">
        <f t="shared" si="6"/>
        <v>0.11999999999999998</v>
      </c>
      <c r="C48" s="187">
        <v>79.718630001588167</v>
      </c>
      <c r="D48" s="187">
        <v>77.437336301374685</v>
      </c>
      <c r="E48" s="187">
        <v>79.963128346540103</v>
      </c>
      <c r="F48" s="187">
        <v>76.482854582565949</v>
      </c>
      <c r="G48" s="187">
        <v>75.021256424914398</v>
      </c>
      <c r="H48" s="187">
        <v>90.942426838883222</v>
      </c>
      <c r="I48" s="187">
        <v>93.972615553280477</v>
      </c>
      <c r="J48" s="187">
        <v>76.886630897975095</v>
      </c>
      <c r="K48" s="187">
        <v>83.608797021909467</v>
      </c>
      <c r="L48" s="187">
        <v>72.364617986395018</v>
      </c>
      <c r="M48" s="187">
        <f t="shared" si="5"/>
        <v>80.639829395542648</v>
      </c>
    </row>
    <row r="49" spans="2:13" x14ac:dyDescent="0.3">
      <c r="B49" s="187">
        <f t="shared" si="6"/>
        <v>0.12999999999999998</v>
      </c>
      <c r="C49" s="187">
        <v>81.213008760411128</v>
      </c>
      <c r="D49" s="187">
        <v>75.474764047226088</v>
      </c>
      <c r="E49" s="187">
        <v>78.785946164438172</v>
      </c>
      <c r="F49" s="187">
        <v>75.51202685489443</v>
      </c>
      <c r="G49" s="187">
        <v>73.568141547314212</v>
      </c>
      <c r="H49" s="187">
        <v>92.010231070544478</v>
      </c>
      <c r="I49" s="187">
        <v>90.863509285361388</v>
      </c>
      <c r="J49" s="187">
        <v>77.319875019972599</v>
      </c>
      <c r="K49" s="187">
        <v>82.99965787932841</v>
      </c>
      <c r="L49" s="187">
        <v>71.515482711401134</v>
      </c>
      <c r="M49" s="187">
        <f t="shared" si="5"/>
        <v>79.926264334089211</v>
      </c>
    </row>
    <row r="50" spans="2:13" x14ac:dyDescent="0.3">
      <c r="B50" s="187">
        <f t="shared" si="6"/>
        <v>0.13999999999999999</v>
      </c>
      <c r="C50" s="187">
        <v>81.644397671095035</v>
      </c>
      <c r="D50" s="187">
        <v>75.355622015741147</v>
      </c>
      <c r="E50" s="187">
        <v>79.431569456069951</v>
      </c>
      <c r="F50" s="187">
        <v>78.352877981414423</v>
      </c>
      <c r="G50" s="187">
        <v>72.726738088335395</v>
      </c>
      <c r="H50" s="187">
        <v>90.881621697198412</v>
      </c>
      <c r="I50" s="187">
        <v>93.847086767686775</v>
      </c>
      <c r="J50" s="187">
        <v>78.118489875045356</v>
      </c>
      <c r="K50" s="187">
        <v>81.872739040807701</v>
      </c>
      <c r="L50" s="187">
        <v>72.995846350201475</v>
      </c>
      <c r="M50" s="187">
        <f t="shared" si="5"/>
        <v>80.522698894359564</v>
      </c>
    </row>
    <row r="51" spans="2:13" x14ac:dyDescent="0.3">
      <c r="B51" s="187">
        <f t="shared" si="6"/>
        <v>0.15</v>
      </c>
      <c r="C51" s="187">
        <v>80.982425222250157</v>
      </c>
      <c r="D51" s="187">
        <v>72.641810399558466</v>
      </c>
      <c r="E51" s="187">
        <v>76.495517025212067</v>
      </c>
      <c r="F51" s="187">
        <v>80.38718092495435</v>
      </c>
      <c r="G51" s="187">
        <v>71.213415789500729</v>
      </c>
      <c r="H51" s="187">
        <v>88.725945850919913</v>
      </c>
      <c r="I51" s="187">
        <v>96.324473924479278</v>
      </c>
      <c r="J51" s="187">
        <v>80.174622658904994</v>
      </c>
      <c r="K51" s="187">
        <v>80.762078378918289</v>
      </c>
      <c r="L51" s="187">
        <v>71.727783770538082</v>
      </c>
      <c r="M51" s="187">
        <f t="shared" si="5"/>
        <v>79.943525394523633</v>
      </c>
    </row>
    <row r="52" spans="2:13" x14ac:dyDescent="0.3">
      <c r="B52" s="187">
        <f t="shared" si="6"/>
        <v>0.16</v>
      </c>
      <c r="C52" s="187">
        <v>78.124056738190703</v>
      </c>
      <c r="D52" s="187">
        <v>76.641967906917159</v>
      </c>
      <c r="E52" s="187">
        <v>79.017724359911568</v>
      </c>
      <c r="F52" s="187">
        <v>75.653197924790348</v>
      </c>
      <c r="G52" s="187">
        <v>71.516630319068483</v>
      </c>
      <c r="H52" s="187">
        <v>88.954683157598353</v>
      </c>
      <c r="I52" s="187">
        <v>91.903142119160719</v>
      </c>
      <c r="J52" s="187">
        <v>79.544595319055531</v>
      </c>
      <c r="K52" s="187">
        <v>84.937500296122536</v>
      </c>
      <c r="L52" s="187">
        <v>71.595978383411861</v>
      </c>
      <c r="M52" s="187">
        <f t="shared" si="5"/>
        <v>79.788947652422721</v>
      </c>
    </row>
    <row r="53" spans="2:13" x14ac:dyDescent="0.3">
      <c r="B53" s="187">
        <f t="shared" si="6"/>
        <v>0.17</v>
      </c>
      <c r="C53" s="187">
        <v>80.158276094652109</v>
      </c>
      <c r="D53" s="187">
        <v>73.484752091636452</v>
      </c>
      <c r="E53" s="187">
        <v>75.568349458619437</v>
      </c>
      <c r="F53" s="187">
        <v>74.277688659794052</v>
      </c>
      <c r="G53" s="187">
        <v>71.707902167241656</v>
      </c>
      <c r="H53" s="187">
        <v>90.727819432124576</v>
      </c>
      <c r="I53" s="187">
        <v>93.662133070125805</v>
      </c>
      <c r="J53" s="187">
        <v>82.144011890888066</v>
      </c>
      <c r="K53" s="187">
        <v>80.802901064656524</v>
      </c>
      <c r="L53" s="187">
        <v>74.566507492609119</v>
      </c>
      <c r="M53" s="187">
        <f t="shared" si="5"/>
        <v>79.71003414223479</v>
      </c>
    </row>
    <row r="54" spans="2:13" x14ac:dyDescent="0.3">
      <c r="B54" s="187">
        <f t="shared" si="6"/>
        <v>0.18000000000000002</v>
      </c>
      <c r="C54" s="187">
        <v>78.464573291030888</v>
      </c>
      <c r="D54" s="187">
        <v>74.678946253641286</v>
      </c>
      <c r="E54" s="187">
        <v>76.51754183001583</v>
      </c>
      <c r="F54" s="187">
        <v>72.1993984025072</v>
      </c>
      <c r="G54" s="187">
        <v>69.727527319069139</v>
      </c>
      <c r="H54" s="187">
        <v>91.841812806878082</v>
      </c>
      <c r="I54" s="187">
        <v>94.870925101260994</v>
      </c>
      <c r="J54" s="187">
        <v>83.493729366784649</v>
      </c>
      <c r="K54" s="187">
        <v>81.650698119519888</v>
      </c>
      <c r="L54" s="187">
        <v>74.124783924421976</v>
      </c>
      <c r="M54" s="187">
        <f t="shared" si="5"/>
        <v>79.756993641512992</v>
      </c>
    </row>
    <row r="55" spans="2:13" x14ac:dyDescent="0.3">
      <c r="B55" s="187">
        <f t="shared" si="6"/>
        <v>0.19000000000000003</v>
      </c>
      <c r="C55" s="187">
        <v>77.825894266422466</v>
      </c>
      <c r="D55" s="187">
        <v>73.933301970840489</v>
      </c>
      <c r="E55" s="187">
        <v>73.09212937781794</v>
      </c>
      <c r="F55" s="187">
        <v>73.423578091917989</v>
      </c>
      <c r="G55" s="187">
        <v>68.025524950534304</v>
      </c>
      <c r="H55" s="187">
        <v>95.738693040426327</v>
      </c>
      <c r="I55" s="187">
        <v>97.803253613686522</v>
      </c>
      <c r="J55" s="187">
        <v>84.9365937618267</v>
      </c>
      <c r="K55" s="187">
        <v>82.434959366451736</v>
      </c>
      <c r="L55" s="187">
        <v>73.658661824151423</v>
      </c>
      <c r="M55" s="187">
        <f t="shared" si="5"/>
        <v>80.08725902640758</v>
      </c>
    </row>
    <row r="56" spans="2:13" x14ac:dyDescent="0.3">
      <c r="B56" s="187">
        <f t="shared" si="6"/>
        <v>0.20000000000000004</v>
      </c>
      <c r="C56" s="187">
        <v>77.055663021446108</v>
      </c>
      <c r="D56" s="187">
        <v>73.227003777276451</v>
      </c>
      <c r="E56" s="187">
        <v>71.925262896793498</v>
      </c>
      <c r="F56" s="187">
        <v>72.962296438623639</v>
      </c>
      <c r="G56" s="187">
        <v>67.199912301077674</v>
      </c>
      <c r="H56" s="187">
        <v>98.82933610993112</v>
      </c>
      <c r="I56" s="187">
        <v>99.105702961181294</v>
      </c>
      <c r="J56" s="187">
        <v>89.2118722046839</v>
      </c>
      <c r="K56" s="187">
        <v>86.107839637544345</v>
      </c>
      <c r="L56" s="187">
        <v>74.796282605112467</v>
      </c>
      <c r="M56" s="187">
        <f t="shared" si="5"/>
        <v>81.042117195367041</v>
      </c>
    </row>
  </sheetData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Button 1">
              <controlPr defaultSize="0" print="0" autoFill="0" autoPict="0" macro="[0]!GBM_Macro">
                <anchor moveWithCells="1" sizeWithCells="1">
                  <from>
                    <xdr:col>3</xdr:col>
                    <xdr:colOff>396240</xdr:colOff>
                    <xdr:row>6</xdr:row>
                    <xdr:rowOff>121920</xdr:rowOff>
                  </from>
                  <to>
                    <xdr:col>6</xdr:col>
                    <xdr:colOff>251460</xdr:colOff>
                    <xdr:row>8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399F3-5BEB-41C9-88D7-DC7716CD2AB5}">
  <sheetPr>
    <tabColor theme="3"/>
  </sheetPr>
  <dimension ref="A1:V54"/>
  <sheetViews>
    <sheetView showGridLines="0" topLeftCell="A6" zoomScale="60" zoomScaleNormal="60" workbookViewId="0">
      <selection activeCell="J48" sqref="J48"/>
    </sheetView>
  </sheetViews>
  <sheetFormatPr defaultRowHeight="15.6" x14ac:dyDescent="0.3"/>
  <cols>
    <col min="1" max="1" width="2.09765625" style="4" customWidth="1"/>
    <col min="2" max="2" width="29.5" style="4" customWidth="1"/>
    <col min="3" max="3" width="8.796875" style="4"/>
    <col min="4" max="4" width="3.09765625" style="4" customWidth="1"/>
    <col min="5" max="5" width="13.19921875" style="4" customWidth="1"/>
    <col min="6" max="8" width="8.796875" style="4"/>
    <col min="9" max="9" width="3.09765625" style="190" customWidth="1"/>
    <col min="10" max="10" width="24.09765625" style="4" customWidth="1"/>
    <col min="11" max="16384" width="8.796875" style="4"/>
  </cols>
  <sheetData>
    <row r="1" spans="1:22" s="3" customFormat="1" ht="25.8" x14ac:dyDescent="0.5">
      <c r="A1" s="1" t="s">
        <v>118</v>
      </c>
      <c r="B1" s="1"/>
      <c r="C1" s="188" t="s">
        <v>119</v>
      </c>
      <c r="D1" s="188"/>
      <c r="E1" s="188"/>
      <c r="I1" s="189"/>
      <c r="J1" s="1" t="s">
        <v>120</v>
      </c>
      <c r="K1" s="188" t="s">
        <v>121</v>
      </c>
    </row>
    <row r="2" spans="1:22" ht="16.2" thickBot="1" x14ac:dyDescent="0.35"/>
    <row r="3" spans="1:22" x14ac:dyDescent="0.3">
      <c r="B3" s="191" t="s">
        <v>122</v>
      </c>
      <c r="C3" s="192"/>
      <c r="D3" s="193"/>
      <c r="E3" s="194" t="s">
        <v>123</v>
      </c>
      <c r="F3" s="195"/>
      <c r="J3" s="194" t="s">
        <v>124</v>
      </c>
      <c r="K3" s="196"/>
      <c r="L3" s="193"/>
      <c r="M3" s="194" t="s">
        <v>123</v>
      </c>
      <c r="N3" s="195"/>
      <c r="Q3" s="197" t="s">
        <v>125</v>
      </c>
      <c r="R3" s="198"/>
      <c r="S3" s="198"/>
      <c r="T3" s="194" t="s">
        <v>126</v>
      </c>
      <c r="U3" s="199"/>
      <c r="V3" s="13"/>
    </row>
    <row r="4" spans="1:22" x14ac:dyDescent="0.3">
      <c r="B4" s="200" t="s">
        <v>127</v>
      </c>
      <c r="C4" s="201">
        <v>0.3</v>
      </c>
      <c r="D4" s="196" t="s">
        <v>128</v>
      </c>
      <c r="E4" s="196" t="s">
        <v>129</v>
      </c>
      <c r="F4" s="195">
        <f>(LN(s0_3/X_2)+(annrate_2-anndiv+0.5*Sigma_3*Sigma_3)*T)/(Sigma_3*SQRT(T))</f>
        <v>0.48362196258366985</v>
      </c>
      <c r="J4" s="196" t="s">
        <v>130</v>
      </c>
      <c r="K4" s="202">
        <v>0.25</v>
      </c>
      <c r="L4" s="196" t="s">
        <v>128</v>
      </c>
      <c r="M4" s="196" t="s">
        <v>129</v>
      </c>
      <c r="N4" s="195">
        <f>(LN(s0_4/X_3)+(annrate_3-anndiv_4+0.5*Sigma_4*Sigma_4)*T_3)/(Sigma_4*SQRT(T_3))</f>
        <v>0.31609927238132013</v>
      </c>
      <c r="P4" s="54" t="s">
        <v>131</v>
      </c>
      <c r="Q4" s="203" t="s">
        <v>132</v>
      </c>
      <c r="R4" s="203" t="s">
        <v>133</v>
      </c>
      <c r="S4" s="203"/>
      <c r="T4" s="54" t="s">
        <v>132</v>
      </c>
      <c r="U4" s="204" t="s">
        <v>134</v>
      </c>
      <c r="V4" s="196" t="s">
        <v>135</v>
      </c>
    </row>
    <row r="5" spans="1:22" x14ac:dyDescent="0.3">
      <c r="B5" s="200" t="s">
        <v>136</v>
      </c>
      <c r="C5" s="205">
        <v>0.25</v>
      </c>
      <c r="D5" s="196"/>
      <c r="E5" s="196" t="s">
        <v>137</v>
      </c>
      <c r="F5" s="195">
        <f>_arg1-Sigma_3*SQRT(T)</f>
        <v>0.33362196258366983</v>
      </c>
      <c r="J5" s="196" t="s">
        <v>138</v>
      </c>
      <c r="K5" s="206">
        <v>0.75</v>
      </c>
      <c r="L5" s="196"/>
      <c r="M5" s="196" t="s">
        <v>137</v>
      </c>
      <c r="N5" s="195">
        <f>arg1_2-Sigma_4*SQRT(T_3)</f>
        <v>9.959292143521048E-2</v>
      </c>
      <c r="P5" s="207">
        <f t="shared" ref="P5:P24" si="0">P6 -stepsize</f>
        <v>80</v>
      </c>
      <c r="Q5" s="195">
        <f t="shared" ref="Q5:Q45" si="1">$P5*EXP(-anndiv_4*T_3)*NORMSDIST((LN($P5/X_3)+(annrate_3-anndiv_4+0.5*Sigma_4*Sigma_4)*T_3)/(Sigma_4*SQRT(T_3))) - X_3*EXP(-annrate_3*T_3)*NORMSDIST((LN($P5/X_3)+(annrate_3-anndiv_4-0.5*Sigma_4*Sigma_4)*T_3)/(Sigma_4*SQRT(T_3)))</f>
        <v>2.1783232214466359</v>
      </c>
      <c r="R5" s="195">
        <f t="shared" ref="R5:R45" si="2">$P5*EXP(-Div2_2*matur2)*NORMSDIST((LN($P5/X_4)+(annrate2-Div2_2+0.5*sigma2*sigma2)*matur2)/(sigma2*SQRT(matur2))) - X_4*EXP(-annrate2*matur2)*NORMSDIST((LN($P5/X_4)+(annrate2-Div2_2-0.5*sigma2^2)*matur2)/(sigma2*SQRT(matur2)))</f>
        <v>0.22049610094510186</v>
      </c>
      <c r="S5" s="195"/>
      <c r="T5" s="208">
        <f t="shared" ref="T5:T45" si="3">-($Q$25-Q5)</f>
        <v>-8.6333618830880603</v>
      </c>
      <c r="U5" s="209">
        <f t="shared" ref="U5:U45" si="4">-($P$25-P5)*$K$25</f>
        <v>-12.480728409951141</v>
      </c>
      <c r="V5" s="208">
        <f t="shared" ref="V5:V45" si="5">$L$30*P5+$M$30*R5-$N$30</f>
        <v>-9.1623644371634327</v>
      </c>
    </row>
    <row r="6" spans="1:22" x14ac:dyDescent="0.3">
      <c r="B6" s="200" t="s">
        <v>139</v>
      </c>
      <c r="C6" s="205">
        <v>0.04</v>
      </c>
      <c r="D6" s="196"/>
      <c r="E6" s="196" t="s">
        <v>140</v>
      </c>
      <c r="F6" s="195">
        <f>_xlfn.NORM.S.DIST(_arg1,TRUE)</f>
        <v>0.6856729074533926</v>
      </c>
      <c r="J6" s="196" t="s">
        <v>139</v>
      </c>
      <c r="K6" s="206">
        <v>0.06</v>
      </c>
      <c r="L6" s="196"/>
      <c r="M6" s="196" t="s">
        <v>140</v>
      </c>
      <c r="N6" s="195">
        <f>NORMSDIST(arg1_2)</f>
        <v>0.62403642049755703</v>
      </c>
      <c r="O6" s="195"/>
      <c r="P6" s="207">
        <f t="shared" si="0"/>
        <v>81</v>
      </c>
      <c r="Q6" s="195">
        <f t="shared" si="1"/>
        <v>2.424769769788508</v>
      </c>
      <c r="R6" s="195">
        <f t="shared" si="2"/>
        <v>0.28080127777040609</v>
      </c>
      <c r="S6" s="195"/>
      <c r="T6" s="208">
        <f t="shared" si="3"/>
        <v>-8.3869153347461882</v>
      </c>
      <c r="U6" s="209">
        <f t="shared" si="4"/>
        <v>-11.856691989453584</v>
      </c>
      <c r="V6" s="208">
        <f t="shared" si="5"/>
        <v>-8.8243037140004077</v>
      </c>
    </row>
    <row r="7" spans="1:22" x14ac:dyDescent="0.3">
      <c r="B7" s="200" t="s">
        <v>105</v>
      </c>
      <c r="C7" s="205">
        <v>100</v>
      </c>
      <c r="D7" s="196" t="s">
        <v>128</v>
      </c>
      <c r="E7" s="196" t="s">
        <v>141</v>
      </c>
      <c r="F7" s="195">
        <f>_xlfn.NORM.S.DIST(_arg2,TRUE)</f>
        <v>0.63066757841522314</v>
      </c>
      <c r="J7" s="196" t="s">
        <v>105</v>
      </c>
      <c r="K7" s="206">
        <v>100</v>
      </c>
      <c r="L7" s="196" t="s">
        <v>128</v>
      </c>
      <c r="M7" s="196" t="s">
        <v>141</v>
      </c>
      <c r="N7" s="195">
        <f>NORMSDIST(arg2_3)</f>
        <v>0.53966624311912192</v>
      </c>
      <c r="O7" s="195"/>
      <c r="P7" s="207">
        <f t="shared" si="0"/>
        <v>82</v>
      </c>
      <c r="Q7" s="195">
        <f t="shared" si="1"/>
        <v>2.6895422375245666</v>
      </c>
      <c r="R7" s="195">
        <f t="shared" si="2"/>
        <v>0.3538432051290723</v>
      </c>
      <c r="S7" s="195"/>
      <c r="T7" s="209">
        <f t="shared" si="3"/>
        <v>-8.1221428670101297</v>
      </c>
      <c r="U7" s="209">
        <f t="shared" si="4"/>
        <v>-11.232655568956027</v>
      </c>
      <c r="V7" s="208">
        <f t="shared" si="5"/>
        <v>-8.479130310436144</v>
      </c>
    </row>
    <row r="8" spans="1:22" x14ac:dyDescent="0.3">
      <c r="B8" s="200" t="s">
        <v>142</v>
      </c>
      <c r="C8" s="205">
        <v>95</v>
      </c>
      <c r="D8" s="196"/>
      <c r="E8" s="210" t="s">
        <v>143</v>
      </c>
      <c r="F8" s="211">
        <f>s0_3*EXP(-anndiv*T)*narg1-X_2*EXP(-annrate_2*T)*narg2</f>
        <v>9.2500192850459584</v>
      </c>
      <c r="J8" s="196" t="s">
        <v>142</v>
      </c>
      <c r="K8" s="206">
        <v>100</v>
      </c>
      <c r="L8" s="196"/>
      <c r="M8" s="196" t="s">
        <v>143</v>
      </c>
      <c r="N8" s="195">
        <f>s0_4*EXP(-anndiv_4*T_3)*narg1_3-X_3*EXP(-annrate_3*T_3)*narg2_3</f>
        <v>10.811685104534696</v>
      </c>
      <c r="O8" s="195"/>
      <c r="P8" s="207">
        <f t="shared" si="0"/>
        <v>83</v>
      </c>
      <c r="Q8" s="195">
        <f t="shared" si="1"/>
        <v>2.9730738551110818</v>
      </c>
      <c r="R8" s="195">
        <f t="shared" si="2"/>
        <v>0.44139391832199149</v>
      </c>
      <c r="S8" s="195"/>
      <c r="T8" s="209">
        <f t="shared" si="3"/>
        <v>-7.8386112494236144</v>
      </c>
      <c r="U8" s="209">
        <f t="shared" si="4"/>
        <v>-10.60861914845847</v>
      </c>
      <c r="V8" s="208">
        <f t="shared" si="5"/>
        <v>-8.1258546553298814</v>
      </c>
    </row>
    <row r="9" spans="1:22" ht="16.2" thickBot="1" x14ac:dyDescent="0.35">
      <c r="B9" s="212" t="s">
        <v>144</v>
      </c>
      <c r="C9" s="213">
        <v>0</v>
      </c>
      <c r="D9" s="196" t="s">
        <v>128</v>
      </c>
      <c r="E9" s="210" t="s">
        <v>145</v>
      </c>
      <c r="F9" s="211">
        <f>F8-s0_3*EXP(-anndiv*T)+X_2*EXP(-annrate_2*T)</f>
        <v>3.3047534912169425</v>
      </c>
      <c r="J9" s="196" t="s">
        <v>144</v>
      </c>
      <c r="K9" s="206">
        <v>0</v>
      </c>
      <c r="L9" s="196" t="s">
        <v>128</v>
      </c>
      <c r="M9" s="196" t="s">
        <v>145</v>
      </c>
      <c r="N9" s="195">
        <f>N8-s0_4*EXP(-anndiv_4*T_3)+X_3*EXP(-annrate_3*T_3)</f>
        <v>6.4114332878446874</v>
      </c>
      <c r="O9" s="195"/>
      <c r="P9" s="207">
        <f t="shared" si="0"/>
        <v>84</v>
      </c>
      <c r="Q9" s="195">
        <f t="shared" si="1"/>
        <v>3.2757422471938575</v>
      </c>
      <c r="R9" s="195">
        <f t="shared" si="2"/>
        <v>0.5452909304434268</v>
      </c>
      <c r="S9" s="195"/>
      <c r="T9" s="209">
        <f t="shared" si="3"/>
        <v>-7.5359428573408387</v>
      </c>
      <c r="U9" s="209">
        <f t="shared" si="4"/>
        <v>-9.9845827279609125</v>
      </c>
      <c r="V9" s="208">
        <f t="shared" si="5"/>
        <v>-7.7634506122790548</v>
      </c>
    </row>
    <row r="10" spans="1:22" x14ac:dyDescent="0.3">
      <c r="B10" s="196"/>
      <c r="C10" s="196"/>
      <c r="D10" s="196"/>
      <c r="E10" s="196"/>
      <c r="F10" s="195"/>
      <c r="K10" s="196"/>
      <c r="L10" s="196"/>
      <c r="M10" s="196" t="s">
        <v>146</v>
      </c>
      <c r="N10" s="195">
        <f>narg1_3</f>
        <v>0.62403642049755703</v>
      </c>
      <c r="O10" s="195"/>
      <c r="P10" s="207">
        <f t="shared" si="0"/>
        <v>85</v>
      </c>
      <c r="Q10" s="195">
        <f t="shared" si="1"/>
        <v>3.5978680257545612</v>
      </c>
      <c r="R10" s="195">
        <f t="shared" si="2"/>
        <v>0.66740954368016681</v>
      </c>
      <c r="S10" s="195"/>
      <c r="T10" s="209">
        <f t="shared" si="3"/>
        <v>-7.213817078780135</v>
      </c>
      <c r="U10" s="209">
        <f t="shared" si="4"/>
        <v>-9.3605463074633555</v>
      </c>
      <c r="V10" s="208">
        <f t="shared" si="5"/>
        <v>-7.3908709420309648</v>
      </c>
    </row>
    <row r="11" spans="1:22" x14ac:dyDescent="0.3">
      <c r="B11" s="196"/>
      <c r="C11" s="195"/>
      <c r="D11" s="196"/>
      <c r="E11" s="196" t="s">
        <v>147</v>
      </c>
      <c r="F11" s="195">
        <f>narg1</f>
        <v>0.6856729074533926</v>
      </c>
      <c r="J11" s="196" t="s">
        <v>148</v>
      </c>
      <c r="K11" s="202">
        <v>1</v>
      </c>
      <c r="L11" s="196"/>
      <c r="M11" s="196" t="s">
        <v>149</v>
      </c>
      <c r="N11" s="195">
        <f>narg1_3-1</f>
        <v>-0.37596357950244297</v>
      </c>
      <c r="O11" s="195"/>
      <c r="P11" s="207">
        <f t="shared" si="0"/>
        <v>86</v>
      </c>
      <c r="Q11" s="195">
        <f t="shared" si="1"/>
        <v>3.9397139536609345</v>
      </c>
      <c r="R11" s="195">
        <f t="shared" si="2"/>
        <v>0.80963242544269853</v>
      </c>
      <c r="S11" s="195"/>
      <c r="T11" s="209">
        <f t="shared" si="3"/>
        <v>-6.8719711508737618</v>
      </c>
      <c r="U11" s="209">
        <f t="shared" si="4"/>
        <v>-8.7365098869657984</v>
      </c>
      <c r="V11" s="208">
        <f t="shared" si="5"/>
        <v>-7.0070642923150714</v>
      </c>
    </row>
    <row r="12" spans="1:22" x14ac:dyDescent="0.3">
      <c r="B12" s="196"/>
      <c r="C12" s="196"/>
      <c r="D12" s="196"/>
      <c r="E12" s="196" t="s">
        <v>150</v>
      </c>
      <c r="F12" s="195">
        <f>narg1-1</f>
        <v>-0.3143270925466074</v>
      </c>
      <c r="K12" s="196"/>
      <c r="L12" s="196"/>
      <c r="M12" s="196" t="s">
        <v>151</v>
      </c>
      <c r="N12" s="195">
        <f>(EXP(-0.5*N4^2)/SQRT(2*PI())) / (s0_4*Sigma_4*SQRT(T_3))</f>
        <v>1.7528402795298447E-2</v>
      </c>
      <c r="O12" s="195"/>
      <c r="P12" s="207">
        <f t="shared" si="0"/>
        <v>87</v>
      </c>
      <c r="Q12" s="195">
        <f t="shared" si="1"/>
        <v>4.301484658320895</v>
      </c>
      <c r="R12" s="195">
        <f t="shared" si="2"/>
        <v>0.97381741636656827</v>
      </c>
      <c r="S12" s="195"/>
      <c r="T12" s="209">
        <f t="shared" si="3"/>
        <v>-6.5102004462138012</v>
      </c>
      <c r="U12" s="209">
        <f t="shared" si="4"/>
        <v>-8.1124734664682414</v>
      </c>
      <c r="V12" s="208">
        <f t="shared" si="5"/>
        <v>-6.6109931750654454</v>
      </c>
    </row>
    <row r="13" spans="1:22" x14ac:dyDescent="0.3">
      <c r="B13" s="196"/>
      <c r="C13" s="196"/>
      <c r="D13" s="196"/>
      <c r="E13" s="196" t="s">
        <v>152</v>
      </c>
      <c r="F13" s="195">
        <f>F11*s0_3/F8</f>
        <v>7.4126646261363538</v>
      </c>
      <c r="J13" s="194" t="s">
        <v>153</v>
      </c>
      <c r="K13" s="196"/>
      <c r="L13" s="196"/>
      <c r="M13" s="196"/>
      <c r="N13" s="195"/>
      <c r="O13" s="208"/>
      <c r="P13" s="207">
        <f t="shared" si="0"/>
        <v>88</v>
      </c>
      <c r="Q13" s="195">
        <f t="shared" si="1"/>
        <v>4.6833268682038671</v>
      </c>
      <c r="R13" s="195">
        <f t="shared" si="2"/>
        <v>1.1617646289309853</v>
      </c>
      <c r="S13" s="195"/>
      <c r="T13" s="209">
        <f t="shared" si="3"/>
        <v>-6.1283582363308291</v>
      </c>
      <c r="U13" s="209">
        <f t="shared" si="4"/>
        <v>-7.4884370459706844</v>
      </c>
      <c r="V13" s="208">
        <f t="shared" si="5"/>
        <v>-6.2016523397892414</v>
      </c>
    </row>
    <row r="14" spans="1:22" x14ac:dyDescent="0.3">
      <c r="B14" s="196"/>
      <c r="C14" s="196"/>
      <c r="D14" s="196"/>
      <c r="E14" s="196" t="s">
        <v>154</v>
      </c>
      <c r="F14" s="195">
        <f>F12*s0_3/F9</f>
        <v>-9.511362750111191</v>
      </c>
      <c r="J14" s="196" t="s">
        <v>130</v>
      </c>
      <c r="K14" s="202">
        <v>0.25</v>
      </c>
      <c r="L14" s="196" t="s">
        <v>128</v>
      </c>
      <c r="M14" s="196" t="s">
        <v>129</v>
      </c>
      <c r="N14" s="195">
        <f>(LN(S_2/X_4)+(annrate2-Div2_2+0.5*sigma2^2)*matur2)/(sigma2*SQRT(matur2))</f>
        <v>0.1825</v>
      </c>
      <c r="O14" s="208"/>
      <c r="P14" s="207">
        <f t="shared" si="0"/>
        <v>89</v>
      </c>
      <c r="Q14" s="195">
        <f t="shared" si="1"/>
        <v>5.0853301391694998</v>
      </c>
      <c r="R14" s="195">
        <f t="shared" si="2"/>
        <v>1.3751839321996222</v>
      </c>
      <c r="S14" s="195"/>
      <c r="T14" s="209">
        <f t="shared" si="3"/>
        <v>-5.7263549653651964</v>
      </c>
      <c r="U14" s="209">
        <f t="shared" si="4"/>
        <v>-6.8644006254731273</v>
      </c>
      <c r="V14" s="208">
        <f t="shared" si="5"/>
        <v>-5.7780869313100141</v>
      </c>
    </row>
    <row r="15" spans="1:22" x14ac:dyDescent="0.3">
      <c r="B15" s="196"/>
      <c r="C15" s="196"/>
      <c r="D15" s="196"/>
      <c r="E15" s="196" t="s">
        <v>155</v>
      </c>
      <c r="F15" s="195">
        <f>EXP(-anndiv*T)*_xlfn.NORM.S.DIST(_arg1,FALSE)/(s0_3*Sigma_3*SQRT(T))</f>
        <v>2.366084195083654E-2</v>
      </c>
      <c r="J15" s="196" t="s">
        <v>138</v>
      </c>
      <c r="K15" s="206">
        <v>0.25</v>
      </c>
      <c r="L15" s="196"/>
      <c r="M15" s="196" t="s">
        <v>137</v>
      </c>
      <c r="N15" s="195">
        <f>N14-sigma2*SQRT(matur2)</f>
        <v>5.7499999999999996E-2</v>
      </c>
      <c r="O15" s="208"/>
      <c r="P15" s="207">
        <f t="shared" si="0"/>
        <v>90</v>
      </c>
      <c r="Q15" s="195">
        <f t="shared" si="1"/>
        <v>5.5075280328415914</v>
      </c>
      <c r="R15" s="195">
        <f t="shared" si="2"/>
        <v>1.6156638993611701</v>
      </c>
      <c r="S15" s="195"/>
      <c r="T15" s="209">
        <f t="shared" si="3"/>
        <v>-5.3041570716931048</v>
      </c>
      <c r="U15" s="209">
        <f t="shared" si="4"/>
        <v>-6.2403642049755703</v>
      </c>
      <c r="V15" s="208">
        <f t="shared" si="5"/>
        <v>-5.3394098306286466</v>
      </c>
    </row>
    <row r="16" spans="1:22" x14ac:dyDescent="0.3">
      <c r="B16" s="196"/>
      <c r="C16" s="196"/>
      <c r="D16" s="196"/>
      <c r="E16" s="196" t="s">
        <v>156</v>
      </c>
      <c r="F16" s="214">
        <f>EXP(-anndiv*T)*_xlfn.NORM.S.DIST(_arg1,FALSE)*(s0_3*SQRT(T))</f>
        <v>17.745631463127403</v>
      </c>
      <c r="J16" s="196" t="s">
        <v>139</v>
      </c>
      <c r="K16" s="206">
        <v>0.06</v>
      </c>
      <c r="L16" s="196"/>
      <c r="M16" s="196" t="s">
        <v>140</v>
      </c>
      <c r="N16" s="195">
        <f>NORMSDIST(N14)</f>
        <v>0.57240482282098715</v>
      </c>
      <c r="O16" s="208"/>
      <c r="P16" s="207">
        <f t="shared" si="0"/>
        <v>91</v>
      </c>
      <c r="Q16" s="195">
        <f t="shared" si="1"/>
        <v>5.9498997056616219</v>
      </c>
      <c r="R16" s="195">
        <f t="shared" si="2"/>
        <v>1.8846432234269379</v>
      </c>
      <c r="S16" s="195"/>
      <c r="T16" s="209">
        <f t="shared" si="3"/>
        <v>-4.8617853988730744</v>
      </c>
      <c r="U16" s="209">
        <f t="shared" si="4"/>
        <v>-5.6163277844780133</v>
      </c>
      <c r="V16" s="208">
        <f t="shared" si="5"/>
        <v>-4.8848176174725921</v>
      </c>
    </row>
    <row r="17" spans="2:22" x14ac:dyDescent="0.3">
      <c r="B17" s="196"/>
      <c r="C17" s="196"/>
      <c r="D17" s="196"/>
      <c r="E17" s="196" t="s">
        <v>157</v>
      </c>
      <c r="F17" s="214">
        <f>-EXP(-anndiv*T)*s0_3*_xlfn.NORM.S.DIST(_arg1,FALSE)*Sigma_3/(2*SQRT(T)) - annrate_2*X_2*EXP(-annrate_2*T)*narg2</f>
        <v>-13.020069736288175</v>
      </c>
      <c r="J17" s="196" t="s">
        <v>105</v>
      </c>
      <c r="K17" s="206">
        <v>100</v>
      </c>
      <c r="L17" s="196" t="s">
        <v>128</v>
      </c>
      <c r="M17" s="196" t="s">
        <v>141</v>
      </c>
      <c r="N17" s="195">
        <f>NORMSDIST(N15)</f>
        <v>0.52292654694488827</v>
      </c>
      <c r="O17" s="208"/>
      <c r="P17" s="207">
        <f t="shared" si="0"/>
        <v>92</v>
      </c>
      <c r="Q17" s="195">
        <f t="shared" si="1"/>
        <v>6.4123718647072465</v>
      </c>
      <c r="R17" s="195">
        <f t="shared" si="2"/>
        <v>2.1833854889709485</v>
      </c>
      <c r="S17" s="195"/>
      <c r="T17" s="209">
        <f t="shared" si="3"/>
        <v>-4.3993132398274497</v>
      </c>
      <c r="U17" s="209">
        <f t="shared" si="4"/>
        <v>-4.9922913639804563</v>
      </c>
      <c r="V17" s="208">
        <f t="shared" si="5"/>
        <v>-4.4136046587047701</v>
      </c>
    </row>
    <row r="18" spans="2:22" x14ac:dyDescent="0.3">
      <c r="J18" s="196" t="s">
        <v>142</v>
      </c>
      <c r="K18" s="206">
        <v>100</v>
      </c>
      <c r="L18" s="196"/>
      <c r="M18" s="196" t="s">
        <v>143</v>
      </c>
      <c r="N18" s="195">
        <f>S_2*EXP(-Div2_2*matur2)*N16-X_4*EXP(-annrate2*matur2)*N17</f>
        <v>5.7263637890176327</v>
      </c>
      <c r="O18" s="208"/>
      <c r="P18" s="207">
        <f t="shared" si="0"/>
        <v>93</v>
      </c>
      <c r="Q18" s="195">
        <f t="shared" si="1"/>
        <v>6.8948210448012617</v>
      </c>
      <c r="R18" s="195">
        <f t="shared" si="2"/>
        <v>2.5129580330532164</v>
      </c>
      <c r="S18" s="195"/>
      <c r="T18" s="209">
        <f t="shared" si="3"/>
        <v>-3.9168640597334345</v>
      </c>
      <c r="U18" s="209">
        <f t="shared" si="4"/>
        <v>-4.3682549434828992</v>
      </c>
      <c r="V18" s="208">
        <f t="shared" si="5"/>
        <v>-3.9251749131788749</v>
      </c>
    </row>
    <row r="19" spans="2:22" x14ac:dyDescent="0.3">
      <c r="J19" s="196" t="s">
        <v>144</v>
      </c>
      <c r="K19" s="206">
        <v>0</v>
      </c>
      <c r="L19" s="196" t="s">
        <v>128</v>
      </c>
      <c r="M19" s="196" t="s">
        <v>145</v>
      </c>
      <c r="N19" s="195">
        <f>N18-K17*EXP(-Div2_2*matur2)+X_4*EXP(-annrate2*matur2)</f>
        <v>4.2375577493238836</v>
      </c>
      <c r="O19" s="208"/>
      <c r="P19" s="207">
        <f t="shared" si="0"/>
        <v>94</v>
      </c>
      <c r="Q19" s="195">
        <f t="shared" si="1"/>
        <v>7.3970761607874138</v>
      </c>
      <c r="R19" s="195">
        <f t="shared" si="2"/>
        <v>2.874215447035823</v>
      </c>
      <c r="S19" s="195"/>
      <c r="T19" s="209">
        <f t="shared" si="3"/>
        <v>-3.4146089437472824</v>
      </c>
      <c r="U19" s="209">
        <f t="shared" si="4"/>
        <v>-3.7442185229853422</v>
      </c>
      <c r="V19" s="208">
        <f t="shared" si="5"/>
        <v>-3.4190511449455698</v>
      </c>
    </row>
    <row r="20" spans="2:22" x14ac:dyDescent="0.3">
      <c r="K20" s="196"/>
      <c r="L20" s="196"/>
      <c r="M20" s="196" t="s">
        <v>158</v>
      </c>
      <c r="N20" s="195">
        <f>N16</f>
        <v>0.57240482282098715</v>
      </c>
      <c r="O20" s="208"/>
      <c r="P20" s="207">
        <f t="shared" si="0"/>
        <v>95</v>
      </c>
      <c r="Q20" s="195">
        <f t="shared" si="1"/>
        <v>7.9189212890206164</v>
      </c>
      <c r="R20" s="195">
        <f t="shared" si="2"/>
        <v>3.2677880742828336</v>
      </c>
      <c r="S20" s="195"/>
      <c r="T20" s="209">
        <f t="shared" si="3"/>
        <v>-2.8927638155140798</v>
      </c>
      <c r="U20" s="209">
        <f t="shared" si="4"/>
        <v>-3.1201821024877852</v>
      </c>
      <c r="V20" s="208">
        <f t="shared" si="5"/>
        <v>-2.8948813465693739</v>
      </c>
    </row>
    <row r="21" spans="2:22" x14ac:dyDescent="0.3">
      <c r="K21" s="195"/>
      <c r="L21" s="196"/>
      <c r="M21" s="196" t="s">
        <v>159</v>
      </c>
      <c r="N21" s="195">
        <f>N16-1</f>
        <v>-0.42759517717901285</v>
      </c>
      <c r="O21" s="208"/>
      <c r="P21" s="207">
        <f t="shared" si="0"/>
        <v>96</v>
      </c>
      <c r="Q21" s="195">
        <f t="shared" si="1"/>
        <v>8.4600986330148018</v>
      </c>
      <c r="R21" s="195">
        <f t="shared" si="2"/>
        <v>3.6940756580944836</v>
      </c>
      <c r="S21" s="195"/>
      <c r="T21" s="209">
        <f t="shared" si="3"/>
        <v>-2.3515864715198944</v>
      </c>
      <c r="U21" s="209">
        <f t="shared" si="4"/>
        <v>-2.4961456819902281</v>
      </c>
      <c r="V21" s="208">
        <f t="shared" si="5"/>
        <v>-2.3524422863610361</v>
      </c>
    </row>
    <row r="22" spans="2:22" x14ac:dyDescent="0.3">
      <c r="K22" s="196"/>
      <c r="L22" s="196"/>
      <c r="M22" s="196" t="s">
        <v>160</v>
      </c>
      <c r="N22" s="195">
        <f>(EXP(-0.5*N14^2)/SQRT(2*PI())) / (S_2*Sigma_4*SQRT(matur2))</f>
        <v>3.1388292606702464E-2</v>
      </c>
      <c r="O22" s="208"/>
      <c r="P22" s="207">
        <f t="shared" si="0"/>
        <v>97</v>
      </c>
      <c r="Q22" s="195">
        <f t="shared" si="1"/>
        <v>9.0203116297107755</v>
      </c>
      <c r="R22" s="195">
        <f t="shared" si="2"/>
        <v>4.1532461002336092</v>
      </c>
      <c r="S22" s="195"/>
      <c r="T22" s="209">
        <f t="shared" si="3"/>
        <v>-1.7913734748239207</v>
      </c>
      <c r="U22" s="209">
        <f t="shared" si="4"/>
        <v>-1.8721092614926711</v>
      </c>
      <c r="V22" s="208">
        <f t="shared" si="5"/>
        <v>-1.7916402016630641</v>
      </c>
    </row>
    <row r="23" spans="2:22" x14ac:dyDescent="0.3">
      <c r="J23" s="4" t="s">
        <v>161</v>
      </c>
      <c r="K23" s="196"/>
      <c r="L23" s="196"/>
      <c r="M23" s="196"/>
      <c r="N23" s="195"/>
      <c r="O23" s="208"/>
      <c r="P23" s="207">
        <f t="shared" si="0"/>
        <v>98</v>
      </c>
      <c r="Q23" s="195">
        <f t="shared" si="1"/>
        <v>9.5992281548692446</v>
      </c>
      <c r="R23" s="195">
        <f t="shared" si="2"/>
        <v>4.6452391122329857</v>
      </c>
      <c r="S23" s="195"/>
      <c r="T23" s="209">
        <f t="shared" si="3"/>
        <v>-1.2124569496654516</v>
      </c>
      <c r="U23" s="209">
        <f t="shared" si="4"/>
        <v>-1.2480728409951141</v>
      </c>
      <c r="V23" s="208">
        <f t="shared" si="5"/>
        <v>-1.2125087598224127</v>
      </c>
    </row>
    <row r="24" spans="2:22" x14ac:dyDescent="0.3">
      <c r="J24" s="60"/>
      <c r="K24" s="215" t="s">
        <v>132</v>
      </c>
      <c r="L24" s="215" t="s">
        <v>133</v>
      </c>
      <c r="M24" s="216" t="s">
        <v>162</v>
      </c>
      <c r="N24" s="195"/>
      <c r="O24" s="208"/>
      <c r="P24" s="207">
        <f t="shared" si="0"/>
        <v>99</v>
      </c>
      <c r="Q24" s="195">
        <f t="shared" si="1"/>
        <v>10.19648378856234</v>
      </c>
      <c r="R24" s="195">
        <f t="shared" si="2"/>
        <v>5.1697743866687631</v>
      </c>
      <c r="S24" s="195"/>
      <c r="T24" s="209">
        <f t="shared" si="3"/>
        <v>-0.61520131597235661</v>
      </c>
      <c r="U24" s="209">
        <f t="shared" si="4"/>
        <v>-0.62403642049755703</v>
      </c>
      <c r="V24" s="208">
        <f t="shared" si="5"/>
        <v>-0.61520449504413932</v>
      </c>
    </row>
    <row r="25" spans="2:22" x14ac:dyDescent="0.3">
      <c r="J25" s="64" t="s">
        <v>163</v>
      </c>
      <c r="K25" s="217">
        <f>N10</f>
        <v>0.62403642049755703</v>
      </c>
      <c r="L25" s="217">
        <f>N20</f>
        <v>0.57240482282098715</v>
      </c>
      <c r="M25" s="218">
        <v>1</v>
      </c>
      <c r="N25" s="195"/>
      <c r="O25" s="208"/>
      <c r="P25" s="207">
        <f>s0_4</f>
        <v>100</v>
      </c>
      <c r="Q25" s="195">
        <f t="shared" si="1"/>
        <v>10.811685104534696</v>
      </c>
      <c r="R25" s="195">
        <f t="shared" si="2"/>
        <v>5.7263637890176327</v>
      </c>
      <c r="S25" s="195"/>
      <c r="T25" s="209">
        <f t="shared" si="3"/>
        <v>0</v>
      </c>
      <c r="U25" s="209">
        <f t="shared" si="4"/>
        <v>0</v>
      </c>
      <c r="V25" s="208">
        <f t="shared" si="5"/>
        <v>0</v>
      </c>
    </row>
    <row r="26" spans="2:22" x14ac:dyDescent="0.3">
      <c r="J26" s="69" t="s">
        <v>155</v>
      </c>
      <c r="K26" s="219">
        <f>N12</f>
        <v>1.7528402795298447E-2</v>
      </c>
      <c r="L26" s="219">
        <f>N22</f>
        <v>3.1388292606702464E-2</v>
      </c>
      <c r="M26" s="220">
        <v>0</v>
      </c>
      <c r="N26" s="195"/>
      <c r="P26" s="207">
        <f t="shared" ref="P26:P45" si="6">P25+stepsize</f>
        <v>101</v>
      </c>
      <c r="Q26" s="195">
        <f t="shared" si="1"/>
        <v>11.44441295024594</v>
      </c>
      <c r="R26" s="195">
        <f t="shared" si="2"/>
        <v>6.3143269757058604</v>
      </c>
      <c r="S26" s="195"/>
      <c r="T26" s="209">
        <f t="shared" si="3"/>
        <v>0.63272784571124419</v>
      </c>
      <c r="U26" s="209">
        <f t="shared" si="4"/>
        <v>0.62403642049755703</v>
      </c>
      <c r="V26" s="208">
        <f t="shared" si="5"/>
        <v>0.63272479587745067</v>
      </c>
    </row>
    <row r="27" spans="2:22" x14ac:dyDescent="0.3">
      <c r="K27" s="196"/>
      <c r="L27" s="196"/>
      <c r="M27" s="196"/>
      <c r="N27" s="195"/>
      <c r="P27" s="207">
        <f t="shared" si="6"/>
        <v>102</v>
      </c>
      <c r="Q27" s="195">
        <f t="shared" si="1"/>
        <v>12.094225687607207</v>
      </c>
      <c r="R27" s="195">
        <f t="shared" si="2"/>
        <v>6.9328097815718408</v>
      </c>
      <c r="S27" s="195"/>
      <c r="T27" s="209">
        <f t="shared" si="3"/>
        <v>1.2825405830725103</v>
      </c>
      <c r="U27" s="209">
        <f t="shared" si="4"/>
        <v>1.2480728409951141</v>
      </c>
      <c r="V27" s="208">
        <f t="shared" si="5"/>
        <v>1.2824928946452374</v>
      </c>
    </row>
    <row r="28" spans="2:22" x14ac:dyDescent="0.3">
      <c r="J28" s="193" t="s">
        <v>164</v>
      </c>
      <c r="K28" s="196"/>
      <c r="L28" s="221" t="s">
        <v>165</v>
      </c>
      <c r="M28" s="222" t="s">
        <v>166</v>
      </c>
      <c r="N28" s="223" t="s">
        <v>167</v>
      </c>
      <c r="P28" s="207">
        <f t="shared" si="6"/>
        <v>103</v>
      </c>
      <c r="Q28" s="195">
        <f t="shared" si="1"/>
        <v>12.760662367710225</v>
      </c>
      <c r="R28" s="195">
        <f t="shared" si="2"/>
        <v>7.5808046894191179</v>
      </c>
      <c r="S28" s="195"/>
      <c r="T28" s="209">
        <f t="shared" si="3"/>
        <v>1.9489772631755287</v>
      </c>
      <c r="U28" s="209">
        <f t="shared" si="4"/>
        <v>1.8721092614926711</v>
      </c>
      <c r="V28" s="208">
        <f t="shared" si="5"/>
        <v>1.9487416608181007</v>
      </c>
    </row>
    <row r="29" spans="2:22" x14ac:dyDescent="0.3">
      <c r="J29" s="196" t="s">
        <v>168</v>
      </c>
      <c r="K29" s="196"/>
      <c r="L29" s="224">
        <f>K25</f>
        <v>0.62403642049755703</v>
      </c>
      <c r="M29" s="196"/>
      <c r="N29" s="195">
        <f>L29*K17</f>
        <v>62.403642049755703</v>
      </c>
      <c r="P29" s="207">
        <f t="shared" si="6"/>
        <v>104</v>
      </c>
      <c r="Q29" s="195">
        <f t="shared" si="1"/>
        <v>13.443245816156249</v>
      </c>
      <c r="R29" s="195">
        <f t="shared" si="2"/>
        <v>8.2571726933007241</v>
      </c>
      <c r="S29" s="195"/>
      <c r="T29" s="209">
        <f t="shared" si="3"/>
        <v>2.6315607116215531</v>
      </c>
      <c r="U29" s="209">
        <f t="shared" si="4"/>
        <v>2.4961456819902281</v>
      </c>
      <c r="V29" s="208">
        <f t="shared" si="5"/>
        <v>2.6308350306484769</v>
      </c>
    </row>
    <row r="30" spans="2:22" x14ac:dyDescent="0.3">
      <c r="J30" s="196" t="s">
        <v>169</v>
      </c>
      <c r="K30" s="196"/>
      <c r="L30" s="224">
        <f>K25-M30*L25</f>
        <v>0.30438404494160709</v>
      </c>
      <c r="M30" s="195">
        <f>K26/L26</f>
        <v>0.55843760012468913</v>
      </c>
      <c r="N30" s="195">
        <f>M30*N18+L30*K17</f>
        <v>33.636221345940633</v>
      </c>
      <c r="P30" s="207">
        <f t="shared" si="6"/>
        <v>105</v>
      </c>
      <c r="Q30" s="195">
        <f t="shared" si="1"/>
        <v>14.141485608861949</v>
      </c>
      <c r="R30" s="195">
        <f t="shared" si="2"/>
        <v>8.9606658921283611</v>
      </c>
      <c r="S30" s="195"/>
      <c r="T30" s="209">
        <f t="shared" si="3"/>
        <v>3.3298005043272525</v>
      </c>
      <c r="U30" s="209">
        <f t="shared" si="4"/>
        <v>3.1201821024877852</v>
      </c>
      <c r="V30" s="208">
        <f t="shared" si="5"/>
        <v>3.3280761292474281</v>
      </c>
    </row>
    <row r="31" spans="2:22" x14ac:dyDescent="0.3">
      <c r="K31" s="196"/>
      <c r="L31" s="196"/>
      <c r="M31" s="196"/>
      <c r="N31" s="195"/>
      <c r="P31" s="207">
        <f t="shared" si="6"/>
        <v>106</v>
      </c>
      <c r="Q31" s="195">
        <f t="shared" si="1"/>
        <v>14.85488092140578</v>
      </c>
      <c r="R31" s="195">
        <f t="shared" si="2"/>
        <v>9.6899501967981365</v>
      </c>
      <c r="S31" s="195"/>
      <c r="T31" s="209">
        <f t="shared" si="3"/>
        <v>4.0431958168710835</v>
      </c>
      <c r="U31" s="209">
        <f t="shared" si="4"/>
        <v>3.7442185229853422</v>
      </c>
      <c r="V31" s="208">
        <f t="shared" si="5"/>
        <v>4.0397199510974318</v>
      </c>
    </row>
    <row r="32" spans="2:22" x14ac:dyDescent="0.3">
      <c r="K32" s="196"/>
      <c r="L32" s="196"/>
      <c r="M32" s="196"/>
      <c r="N32" s="195"/>
      <c r="P32" s="207">
        <f t="shared" si="6"/>
        <v>107</v>
      </c>
      <c r="Q32" s="195">
        <f t="shared" si="1"/>
        <v>15.582923238037672</v>
      </c>
      <c r="R32" s="195">
        <f t="shared" si="2"/>
        <v>10.443627597474503</v>
      </c>
      <c r="S32" s="195"/>
      <c r="T32" s="209">
        <f t="shared" si="3"/>
        <v>4.7712381335029761</v>
      </c>
      <c r="U32" s="209">
        <f t="shared" si="4"/>
        <v>4.3682549434828992</v>
      </c>
      <c r="V32" s="208">
        <f t="shared" si="5"/>
        <v>4.7649857949409622</v>
      </c>
    </row>
    <row r="33" spans="10:22" x14ac:dyDescent="0.3">
      <c r="J33" s="196"/>
      <c r="K33" s="196"/>
      <c r="L33" s="196"/>
      <c r="M33" s="196"/>
      <c r="N33" s="195"/>
      <c r="P33" s="207">
        <f t="shared" si="6"/>
        <v>108</v>
      </c>
      <c r="Q33" s="195">
        <f t="shared" si="1"/>
        <v>16.325098909376905</v>
      </c>
      <c r="R33" s="195">
        <f t="shared" si="2"/>
        <v>11.220257513058982</v>
      </c>
      <c r="S33" s="195"/>
      <c r="T33" s="209">
        <f t="shared" si="3"/>
        <v>5.5134138048422088</v>
      </c>
      <c r="U33" s="209">
        <f t="shared" si="4"/>
        <v>4.9922913639804563</v>
      </c>
      <c r="V33" s="208">
        <f t="shared" si="5"/>
        <v>5.5030691861266021</v>
      </c>
    </row>
    <row r="34" spans="10:22" x14ac:dyDescent="0.3">
      <c r="K34" s="196"/>
      <c r="L34" s="196"/>
      <c r="M34" s="196"/>
      <c r="N34" s="195"/>
      <c r="P34" s="207">
        <f t="shared" si="6"/>
        <v>109</v>
      </c>
      <c r="Q34" s="195">
        <f t="shared" si="1"/>
        <v>17.080891550541082</v>
      </c>
      <c r="R34" s="195">
        <f t="shared" si="2"/>
        <v>12.018376827434565</v>
      </c>
      <c r="S34" s="195"/>
      <c r="T34" s="209">
        <f t="shared" si="3"/>
        <v>6.2692064460063861</v>
      </c>
      <c r="U34" s="209">
        <f t="shared" si="4"/>
        <v>5.6163277844780133</v>
      </c>
      <c r="V34" s="208">
        <f t="shared" si="5"/>
        <v>6.2531530656012748</v>
      </c>
    </row>
    <row r="35" spans="10:22" x14ac:dyDescent="0.3">
      <c r="K35" s="196"/>
      <c r="L35" s="196"/>
      <c r="M35" s="196"/>
      <c r="N35" s="195"/>
      <c r="P35" s="207">
        <f t="shared" si="6"/>
        <v>110</v>
      </c>
      <c r="Q35" s="195">
        <f t="shared" si="1"/>
        <v>17.849784273964744</v>
      </c>
      <c r="R35" s="195">
        <f t="shared" si="2"/>
        <v>12.836518302455701</v>
      </c>
      <c r="S35" s="195"/>
      <c r="T35" s="209">
        <f t="shared" si="3"/>
        <v>7.0380991694300477</v>
      </c>
      <c r="U35" s="209">
        <f t="shared" si="4"/>
        <v>6.2403642049755703</v>
      </c>
      <c r="V35" s="208">
        <f t="shared" si="5"/>
        <v>7.0144180724161558</v>
      </c>
    </row>
    <row r="36" spans="10:22" x14ac:dyDescent="0.3">
      <c r="K36" s="196"/>
      <c r="L36" s="196"/>
      <c r="M36" s="196"/>
      <c r="N36" s="195"/>
      <c r="P36" s="207">
        <f t="shared" si="6"/>
        <v>111</v>
      </c>
      <c r="Q36" s="195">
        <f t="shared" si="1"/>
        <v>18.631261753467996</v>
      </c>
      <c r="R36" s="195">
        <f t="shared" si="2"/>
        <v>13.673227142029035</v>
      </c>
      <c r="S36" s="195"/>
      <c r="T36" s="208">
        <f t="shared" si="3"/>
        <v>7.8195766489332996</v>
      </c>
      <c r="U36" s="209">
        <f t="shared" si="4"/>
        <v>6.8644006254731273</v>
      </c>
      <c r="V36" s="208">
        <f t="shared" si="5"/>
        <v>7.7860517937322129</v>
      </c>
    </row>
    <row r="37" spans="10:22" x14ac:dyDescent="0.3">
      <c r="K37" s="196"/>
      <c r="L37" s="225"/>
      <c r="M37" s="225"/>
      <c r="N37" s="195"/>
      <c r="P37" s="207">
        <f t="shared" si="6"/>
        <v>112</v>
      </c>
      <c r="Q37" s="195">
        <f t="shared" si="1"/>
        <v>19.424812118215783</v>
      </c>
      <c r="R37" s="195">
        <f t="shared" si="2"/>
        <v>14.527075561835446</v>
      </c>
      <c r="S37" s="195"/>
      <c r="T37" s="208">
        <f t="shared" si="3"/>
        <v>8.6131270136810869</v>
      </c>
      <c r="U37" s="209">
        <f t="shared" si="4"/>
        <v>7.4884370459706844</v>
      </c>
      <c r="V37" s="208">
        <f t="shared" si="5"/>
        <v>8.5672569011007695</v>
      </c>
    </row>
    <row r="38" spans="10:22" x14ac:dyDescent="0.3">
      <c r="K38" s="196"/>
      <c r="L38" s="225"/>
      <c r="M38" s="225"/>
      <c r="N38" s="195"/>
      <c r="P38" s="207">
        <f t="shared" si="6"/>
        <v>113</v>
      </c>
      <c r="Q38" s="195">
        <f t="shared" si="1"/>
        <v>20.229928677064891</v>
      </c>
      <c r="R38" s="195">
        <f t="shared" si="2"/>
        <v>15.396675292819438</v>
      </c>
      <c r="S38" s="195"/>
      <c r="T38" s="208">
        <f t="shared" si="3"/>
        <v>9.4182435725301943</v>
      </c>
      <c r="U38" s="209">
        <f t="shared" si="4"/>
        <v>8.1124734664682414</v>
      </c>
      <c r="V38" s="208">
        <f t="shared" si="5"/>
        <v>9.3572581328821514</v>
      </c>
    </row>
    <row r="39" spans="10:22" x14ac:dyDescent="0.3">
      <c r="K39" s="196"/>
      <c r="L39" s="225"/>
      <c r="M39" s="225"/>
      <c r="N39" s="195"/>
      <c r="P39" s="207">
        <f t="shared" si="6"/>
        <v>114</v>
      </c>
      <c r="Q39" s="195">
        <f t="shared" si="1"/>
        <v>21.046111475430692</v>
      </c>
      <c r="R39" s="195">
        <f t="shared" si="2"/>
        <v>16.280688011744857</v>
      </c>
      <c r="S39" s="195"/>
      <c r="T39" s="208">
        <f t="shared" si="3"/>
        <v>10.234426370895996</v>
      </c>
      <c r="U39" s="209">
        <f t="shared" si="4"/>
        <v>8.7365098869657984</v>
      </c>
      <c r="V39" s="208">
        <f t="shared" si="5"/>
        <v>10.155308119060166</v>
      </c>
    </row>
    <row r="40" spans="10:22" x14ac:dyDescent="0.3">
      <c r="J40" s="226"/>
      <c r="K40" s="227"/>
      <c r="L40" s="227"/>
      <c r="M40" s="227"/>
      <c r="N40" s="195"/>
      <c r="P40" s="207">
        <f t="shared" si="6"/>
        <v>115</v>
      </c>
      <c r="Q40" s="195">
        <f t="shared" si="1"/>
        <v>21.872868688224401</v>
      </c>
      <c r="R40" s="195">
        <f t="shared" si="2"/>
        <v>17.177833747786053</v>
      </c>
      <c r="S40" s="195"/>
      <c r="T40" s="208">
        <f t="shared" si="3"/>
        <v>11.061183583689704</v>
      </c>
      <c r="U40" s="209">
        <f t="shared" si="4"/>
        <v>9.3605463074633555</v>
      </c>
      <c r="V40" s="208">
        <f t="shared" si="5"/>
        <v>10.960692075798718</v>
      </c>
    </row>
    <row r="41" spans="10:22" x14ac:dyDescent="0.3">
      <c r="J41" s="19"/>
      <c r="K41" s="228"/>
      <c r="L41" s="217"/>
      <c r="M41" s="217"/>
      <c r="N41" s="195"/>
      <c r="P41" s="207">
        <f t="shared" si="6"/>
        <v>116</v>
      </c>
      <c r="Q41" s="195">
        <f t="shared" si="1"/>
        <v>22.70971785362137</v>
      </c>
      <c r="R41" s="195">
        <f t="shared" si="2"/>
        <v>18.086897359774014</v>
      </c>
      <c r="S41" s="195"/>
      <c r="T41" s="208">
        <f t="shared" si="3"/>
        <v>11.898032749086674</v>
      </c>
      <c r="U41" s="209">
        <f t="shared" si="4"/>
        <v>9.9845827279609125</v>
      </c>
      <c r="V41" s="208">
        <f t="shared" si="5"/>
        <v>11.772731422579561</v>
      </c>
    </row>
    <row r="42" spans="10:22" x14ac:dyDescent="0.3">
      <c r="K42" s="196"/>
      <c r="L42" s="225"/>
      <c r="M42" s="225"/>
      <c r="N42" s="195"/>
      <c r="P42" s="207">
        <f t="shared" si="6"/>
        <v>117</v>
      </c>
      <c r="Q42" s="195">
        <f t="shared" si="1"/>
        <v>23.556186953433198</v>
      </c>
      <c r="R42" s="195">
        <f t="shared" si="2"/>
        <v>19.006733214347207</v>
      </c>
      <c r="S42" s="195"/>
      <c r="T42" s="208">
        <f t="shared" si="3"/>
        <v>12.744501848898501</v>
      </c>
      <c r="U42" s="209">
        <f t="shared" si="4"/>
        <v>10.60861914845847</v>
      </c>
      <c r="V42" s="208">
        <f t="shared" si="5"/>
        <v>12.590786394657663</v>
      </c>
    </row>
    <row r="43" spans="10:22" x14ac:dyDescent="0.3">
      <c r="K43" s="196"/>
      <c r="L43" s="225"/>
      <c r="M43" s="225"/>
      <c r="N43" s="195"/>
      <c r="P43" s="207">
        <f t="shared" si="6"/>
        <v>118</v>
      </c>
      <c r="Q43" s="195">
        <f t="shared" si="1"/>
        <v>24.411815346682232</v>
      </c>
      <c r="R43" s="195">
        <f t="shared" si="2"/>
        <v>19.936268221271717</v>
      </c>
      <c r="S43" s="195"/>
      <c r="T43" s="208">
        <f t="shared" si="3"/>
        <v>13.600130242147536</v>
      </c>
      <c r="U43" s="209">
        <f t="shared" si="4"/>
        <v>11.232655568956027</v>
      </c>
      <c r="V43" s="208">
        <f t="shared" si="5"/>
        <v>13.41425773809808</v>
      </c>
    </row>
    <row r="44" spans="10:22" x14ac:dyDescent="0.3">
      <c r="K44" s="196"/>
      <c r="L44" s="225"/>
      <c r="M44" s="225"/>
      <c r="N44" s="195"/>
      <c r="P44" s="207">
        <f t="shared" si="6"/>
        <v>119</v>
      </c>
      <c r="Q44" s="195">
        <f t="shared" si="1"/>
        <v>25.276154563630115</v>
      </c>
      <c r="R44" s="195">
        <f t="shared" si="2"/>
        <v>20.874503399324823</v>
      </c>
      <c r="S44" s="195"/>
      <c r="T44" s="208">
        <f t="shared" si="3"/>
        <v>14.464469459095419</v>
      </c>
      <c r="U44" s="209">
        <f t="shared" si="4"/>
        <v>11.856691989453584</v>
      </c>
      <c r="V44" s="208">
        <f t="shared" si="5"/>
        <v>14.242587584224225</v>
      </c>
    </row>
    <row r="45" spans="10:22" x14ac:dyDescent="0.3">
      <c r="K45" s="196"/>
      <c r="L45" s="225"/>
      <c r="M45" s="225"/>
      <c r="N45" s="195"/>
      <c r="P45" s="207">
        <f t="shared" si="6"/>
        <v>120</v>
      </c>
      <c r="Q45" s="195">
        <f t="shared" si="1"/>
        <v>26.148768968005328</v>
      </c>
      <c r="R45" s="195">
        <f t="shared" si="2"/>
        <v>21.820514155324176</v>
      </c>
      <c r="S45" s="195"/>
      <c r="T45" s="208">
        <f t="shared" si="3"/>
        <v>15.337083863470632</v>
      </c>
      <c r="U45" s="209">
        <f t="shared" si="4"/>
        <v>12.480728409951141</v>
      </c>
      <c r="V45" s="208">
        <f t="shared" si="5"/>
        <v>15.075259605438262</v>
      </c>
    </row>
    <row r="46" spans="10:22" x14ac:dyDescent="0.3">
      <c r="K46" s="196"/>
      <c r="L46" s="225"/>
      <c r="M46" s="225"/>
      <c r="N46" s="195"/>
      <c r="Q46" s="225"/>
      <c r="R46" s="225"/>
      <c r="S46" s="225"/>
      <c r="U46" s="208"/>
    </row>
    <row r="47" spans="10:22" x14ac:dyDescent="0.3">
      <c r="K47" s="196"/>
      <c r="L47" s="196"/>
      <c r="M47" s="196"/>
      <c r="N47" s="195"/>
      <c r="Q47" s="196"/>
      <c r="R47" s="196"/>
      <c r="S47" s="196"/>
      <c r="U47" s="208"/>
    </row>
    <row r="48" spans="10:22" x14ac:dyDescent="0.3">
      <c r="K48" s="196"/>
      <c r="L48" s="196"/>
      <c r="M48" s="196"/>
      <c r="N48" s="195"/>
      <c r="Q48" s="196"/>
      <c r="R48" s="196"/>
      <c r="S48" s="196"/>
      <c r="U48" s="208"/>
    </row>
    <row r="49" spans="11:21" x14ac:dyDescent="0.3">
      <c r="K49" s="196"/>
      <c r="L49" s="196"/>
      <c r="M49" s="196"/>
      <c r="N49" s="195"/>
      <c r="Q49" s="196"/>
      <c r="R49" s="196"/>
      <c r="S49" s="196"/>
      <c r="U49" s="208"/>
    </row>
    <row r="50" spans="11:21" x14ac:dyDescent="0.3">
      <c r="K50" s="196"/>
      <c r="L50" s="196"/>
      <c r="M50" s="196"/>
      <c r="N50" s="195"/>
      <c r="Q50" s="196"/>
      <c r="R50" s="196"/>
      <c r="S50" s="196"/>
      <c r="U50" s="208"/>
    </row>
    <row r="51" spans="11:21" x14ac:dyDescent="0.3">
      <c r="K51" s="196"/>
      <c r="L51" s="196"/>
      <c r="M51" s="196"/>
      <c r="N51" s="195"/>
      <c r="Q51" s="196"/>
      <c r="R51" s="196"/>
      <c r="S51" s="196"/>
      <c r="U51" s="208"/>
    </row>
    <row r="52" spans="11:21" x14ac:dyDescent="0.3">
      <c r="K52" s="196"/>
      <c r="L52" s="196"/>
      <c r="M52" s="196"/>
      <c r="N52" s="195"/>
      <c r="Q52" s="196"/>
      <c r="R52" s="196"/>
      <c r="S52" s="196"/>
      <c r="U52" s="208"/>
    </row>
    <row r="53" spans="11:21" x14ac:dyDescent="0.3">
      <c r="K53" s="196"/>
      <c r="L53" s="196"/>
      <c r="M53" s="196"/>
      <c r="N53" s="195"/>
      <c r="Q53" s="196"/>
      <c r="R53" s="196"/>
      <c r="S53" s="196"/>
      <c r="U53" s="208"/>
    </row>
    <row r="54" spans="11:21" x14ac:dyDescent="0.3">
      <c r="K54" s="196"/>
      <c r="L54" s="196"/>
      <c r="M54" s="196"/>
      <c r="N54" s="195"/>
      <c r="Q54" s="196"/>
      <c r="R54" s="196"/>
      <c r="S54" s="196"/>
      <c r="U54" s="20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35</vt:i4>
      </vt:variant>
    </vt:vector>
  </HeadingPairs>
  <TitlesOfParts>
    <vt:vector size="40" baseType="lpstr">
      <vt:lpstr>Tools -&gt;</vt:lpstr>
      <vt:lpstr>Monte Carlo</vt:lpstr>
      <vt:lpstr>Portfolio Optimizer</vt:lpstr>
      <vt:lpstr>Stock Price Predictor</vt:lpstr>
      <vt:lpstr>Options Models</vt:lpstr>
      <vt:lpstr>_arg1</vt:lpstr>
      <vt:lpstr>_arg2</vt:lpstr>
      <vt:lpstr>anndiv</vt:lpstr>
      <vt:lpstr>anndiv_4</vt:lpstr>
      <vt:lpstr>annrate</vt:lpstr>
      <vt:lpstr>annrate_2</vt:lpstr>
      <vt:lpstr>annrate_3</vt:lpstr>
      <vt:lpstr>annrate2</vt:lpstr>
      <vt:lpstr>arg1_2</vt:lpstr>
      <vt:lpstr>arg2_3</vt:lpstr>
      <vt:lpstr>Div2_2</vt:lpstr>
      <vt:lpstr>dt</vt:lpstr>
      <vt:lpstr>matur2</vt:lpstr>
      <vt:lpstr>mu</vt:lpstr>
      <vt:lpstr>narg1</vt:lpstr>
      <vt:lpstr>narg1_3</vt:lpstr>
      <vt:lpstr>narg2</vt:lpstr>
      <vt:lpstr>narg2_3</vt:lpstr>
      <vt:lpstr>S_2</vt:lpstr>
      <vt:lpstr>S0</vt:lpstr>
      <vt:lpstr>s0_2</vt:lpstr>
      <vt:lpstr>s0_3</vt:lpstr>
      <vt:lpstr>s0_4</vt:lpstr>
      <vt:lpstr>sigma</vt:lpstr>
      <vt:lpstr>Sigma_2</vt:lpstr>
      <vt:lpstr>Sigma_3</vt:lpstr>
      <vt:lpstr>Sigma_4</vt:lpstr>
      <vt:lpstr>sigma2</vt:lpstr>
      <vt:lpstr>stepsize</vt:lpstr>
      <vt:lpstr>T</vt:lpstr>
      <vt:lpstr>T_3</vt:lpstr>
      <vt:lpstr>X</vt:lpstr>
      <vt:lpstr>X_2</vt:lpstr>
      <vt:lpstr>X_3</vt:lpstr>
      <vt:lpstr>X_4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Harrison</dc:creator>
  <cp:lastModifiedBy>Harrison</cp:lastModifiedBy>
  <dcterms:created xsi:type="dcterms:W3CDTF">2023-10-12T12:28:34Z</dcterms:created>
  <dcterms:modified xsi:type="dcterms:W3CDTF">2023-10-12T12:30:03Z</dcterms:modified>
</cp:coreProperties>
</file>