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son\Desktop\"/>
    </mc:Choice>
  </mc:AlternateContent>
  <xr:revisionPtr revIDLastSave="0" documentId="13_ncr:1_{CF3F1277-6451-4041-8789-C21327626E34}" xr6:coauthVersionLast="36" xr6:coauthVersionMax="36" xr10:uidLastSave="{00000000-0000-0000-0000-000000000000}"/>
  <bookViews>
    <workbookView xWindow="0" yWindow="0" windowWidth="23040" windowHeight="8940" activeTab="2" xr2:uid="{9B33DDCE-068C-4B21-8742-649215A1987F}"/>
  </bookViews>
  <sheets>
    <sheet name="Model -&gt;" sheetId="10" r:id="rId1"/>
    <sheet name="Inputs" sheetId="8" r:id="rId2"/>
    <sheet name="TE Model" sheetId="9" r:id="rId3"/>
  </sheets>
  <externalReferences>
    <externalReference r:id="rId4"/>
  </externalReferences>
  <definedNames>
    <definedName name="______New1" hidden="1">{#N/A,#N/A,FALSE,"Aging Summary";#N/A,#N/A,FALSE,"Ratio Analysis";#N/A,#N/A,FALSE,"Test 120 Day Accts";#N/A,#N/A,FALSE,"Tickmarks"}</definedName>
    <definedName name="_____New1" hidden="1">{#N/A,#N/A,FALSE,"Aging Summary";#N/A,#N/A,FALSE,"Ratio Analysis";#N/A,#N/A,FALSE,"Test 120 Day Accts";#N/A,#N/A,FALSE,"Tickmarks"}</definedName>
    <definedName name="____New1" hidden="1">{#N/A,#N/A,FALSE,"Aging Summary";#N/A,#N/A,FALSE,"Ratio Analysis";#N/A,#N/A,FALSE,"Test 120 Day Accts";#N/A,#N/A,FALSE,"Tickmarks"}</definedName>
    <definedName name="__New1" hidden="1">{#N/A,#N/A,FALSE,"Aging Summary";#N/A,#N/A,FALSE,"Ratio Analysis";#N/A,#N/A,FALSE,"Test 120 Day Accts";#N/A,#N/A,FALSE,"Tickmarks"}</definedName>
    <definedName name="_Fill" hidden="1">#REF!</definedName>
    <definedName name="_New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{"key inputs",#N/A,TRUE,"Key Inputs";"key outputs",#N/A,TRUE,"Outputs";"Other inputs",#N/A,TRUE,"Other Inputs";"Revenue",#N/A,TRUE,"Rev"}</definedName>
    <definedName name="abcd" hidden="1">{#N/A,#N/A,FALSE,"Aging Summary";#N/A,#N/A,FALSE,"Ratio Analysis";#N/A,#N/A,FALSE,"Test 120 Day Accts";#N/A,#N/A,FALSE,"Tickmarks"}</definedName>
    <definedName name="anscount" hidden="1">1</definedName>
    <definedName name="AS2DocOpenMode" hidden="1">"AS2DocumentEdit"</definedName>
    <definedName name="asd" hidden="1">{"key inputs",#N/A,FALSE,"Key Inputs";"key outputs",#N/A,FALSE,"Outputs";"Other inputs",#N/A,FALSE,"Other Inputs";"cashflow",#N/A,FALSE,"Statemnts"}</definedName>
    <definedName name="CIQWBGuid" hidden="1">"20160112 CFG Model Template (Mthly) v0.2.xlsm.xltm"</definedName>
    <definedName name="Copyright" hidden="1">"© 2011 John Laing plc"</definedName>
    <definedName name="cpl">100</definedName>
    <definedName name="Currency">[1]N!$F$23</definedName>
    <definedName name="DaysInYear365">365</definedName>
    <definedName name="Findit" hidden="1">{#N/A,#N/A,FALSE,"Aging Summary";#N/A,#N/A,FALSE,"Ratio Analysis";#N/A,#N/A,FALSE,"Test 120 Day Accts";#N/A,#N/A,FALSE,"Tickmarks"}</definedName>
    <definedName name="Hrs_yr">[1]N!$F$15</definedName>
    <definedName name="limcount" hidden="1">1</definedName>
    <definedName name="Merchant_price">[1]Inputs!$C$169:$C$171</definedName>
    <definedName name="Million">[1]N!$F$18</definedName>
    <definedName name="Months_Qtr">[1]N!$F$14</definedName>
    <definedName name="Months_Yr">[1]N!$F$11</definedName>
    <definedName name="New" hidden="1">{#N/A,#N/A,FALSE,"Aging Summary";#N/A,#N/A,FALSE,"Ratio Analysis";#N/A,#N/A,FALSE,"Test 120 Day Accts";#N/A,#N/A,FALSE,"Tickmarks"}</definedName>
    <definedName name="P_Values">[1]N!$C$27:$C$29</definedName>
    <definedName name="Percent2" hidden="1">{#N/A,#N/A,FALSE,"Aging Summary";#N/A,#N/A,FALSE,"Ratio Analysis";#N/A,#N/A,FALSE,"Test 120 Day Accts";#N/A,#N/A,FALSE,"Tickmarks"}</definedName>
    <definedName name="Project_name">[1]N!$F$7</definedName>
    <definedName name="Qtr_Yr">[1]N!$F$13</definedName>
    <definedName name="Round">[1]N!$F$20</definedName>
    <definedName name="sencount" hidden="1">1</definedName>
    <definedName name="test" hidden="1">{#N/A,#N/A,FALSE,"Aging Summary";#N/A,#N/A,FALSE,"Ratio Analysis";#N/A,#N/A,FALSE,"Test 120 Day Accts";#N/A,#N/A,FALSE,"Tickmarks"}</definedName>
    <definedName name="Tiny">[1]N!$F$20</definedName>
    <definedName name="Tinynumber">[1]N!$F$19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v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JDSuite." hidden="1">{"AJD",#N/A,TRUE,"Summary";"AJD",#N/A,TRUE,"CFCONC-outputs";"AJD",#N/A,TRUE,"P&amp;LCONC-outputs";"AJD",#N/A,TRUE,"BSCONC-outputs";"AJD",#N/A,TRUE,"FSCONC-outputs"}</definedName>
    <definedName name="wrn.Construction._.Costs." hidden="1">{"Const Costs Dev",#N/A,FALSE,"Construction Cost Inputs";"Const Costs orig ccy",#N/A,FALSE,"Construction Cost Inputs";"Const Costs USD",#N/A,FALSE,"Construction Cost Inputs"}</definedName>
    <definedName name="wrn.Financing._.Inputs." hidden="1">{"BuildIn 2 Funding Assump",#N/A,FALSE,"Building Inputs";"BuildIn Capex plus Extras",#N/A,FALSE,"Building Inputs"}</definedName>
    <definedName name="wrn.Inputs._.outputs." hidden="1">{"key inputs",#N/A,FALSE,"Key Inputs";"key outputs",#N/A,FALSE,"Outputs";"Other inputs",#N/A,FALSE,"Other Inputs";"cashflow",#N/A,FALSE,"Statemnts"}</definedName>
    <definedName name="wrn.OpCostIn." hidden="1">{"OpCostIn Technical",#N/A,FALSE,"Operations Cost Inputs";"OpCostIn V plus F",#N/A,FALSE,"Operations Cost Inputs";"OpCostIn Maint",#N/A,FALSE,"Operations Cost Inputs";"OpCostIn LDs Add Cost",#N/A,FALSE,"Operations Cost Inputs"}</definedName>
    <definedName name="wrn.Print_full_report." hidden="1">{#N/A,#N/A,TRUE,"Frontpage";#N/A,#N/A,TRUE,"RATIOS";#N/A,#N/A,TRUE,"graphdelta";#N/A,#N/A,TRUE,"Assumptions1";#N/A,#N/A,TRUE,"Operating costs";#N/A,#N/A,TRUE,"CostDrivers-compl";#N/A,#N/A,TRUE,"Serv.rev Compliant";#N/A,#N/A,TRUE,"P &amp; L";#N/A,#N/A,TRUE,"Cash flow";#N/A,#N/A,TRUE,"Bal.Sheet";#N/A,#N/A,TRUE,"Incremental";#N/A,#N/A,TRUE,"P&amp;Lsupport";#N/A,#N/A,TRUE,"Fixed assets";#N/A,#N/A,TRUE,"Working capital";#N/A,#N/A,TRUE,"Tax";#N/A,#N/A,TRUE,"ROSCO"}</definedName>
    <definedName name="wrn.Summary._.results." hidden="1">{"key inputs",#N/A,TRUE,"Key Inputs";"key outputs",#N/A,TRUE,"Outputs";"Other inputs",#N/A,TRUE,"Other Inputs";"Revenue",#N/A,TRUE,"Rev"}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8" l="1"/>
  <c r="O26" i="8"/>
  <c r="O25" i="8"/>
  <c r="O24" i="8"/>
  <c r="M27" i="8"/>
  <c r="M26" i="8"/>
  <c r="M25" i="8"/>
  <c r="M24" i="8"/>
  <c r="H16" i="8"/>
  <c r="C102" i="9"/>
  <c r="C101" i="9"/>
  <c r="C100" i="9"/>
  <c r="C96" i="9"/>
  <c r="C95" i="9"/>
  <c r="C94" i="9"/>
  <c r="C90" i="9"/>
  <c r="C89" i="9"/>
  <c r="C88" i="9"/>
  <c r="H12" i="8"/>
  <c r="I2" i="9" s="1"/>
  <c r="H29" i="8"/>
  <c r="F65" i="9" s="1"/>
  <c r="C65" i="9" s="1"/>
  <c r="H34" i="8" l="1"/>
  <c r="F5" i="8"/>
  <c r="H14" i="8"/>
  <c r="H24" i="8"/>
  <c r="H22" i="8"/>
  <c r="H21" i="8"/>
  <c r="H20" i="8"/>
  <c r="H19" i="8"/>
  <c r="K27" i="8"/>
  <c r="F33" i="9" s="1"/>
  <c r="K26" i="8"/>
  <c r="H26" i="8" s="1"/>
  <c r="K25" i="8"/>
  <c r="F32" i="9" s="1"/>
  <c r="F30" i="9"/>
  <c r="E30" i="9"/>
  <c r="F29" i="9"/>
  <c r="E29" i="9"/>
  <c r="K24" i="8"/>
  <c r="E32" i="9" s="1"/>
  <c r="I18" i="9"/>
  <c r="AQ90" i="9"/>
  <c r="AP90" i="9"/>
  <c r="AO90" i="9"/>
  <c r="AN90" i="9"/>
  <c r="AM90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AQ89" i="9"/>
  <c r="AP89" i="9"/>
  <c r="AO89" i="9"/>
  <c r="AN89" i="9"/>
  <c r="AM89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I72" i="9"/>
  <c r="I63" i="9"/>
  <c r="H14" i="9"/>
  <c r="H10" i="9"/>
  <c r="I3" i="9"/>
  <c r="J2" i="9"/>
  <c r="K2" i="9" s="1"/>
  <c r="L2" i="9" s="1"/>
  <c r="H33" i="8"/>
  <c r="H32" i="8"/>
  <c r="F24" i="9" s="1"/>
  <c r="H10" i="8"/>
  <c r="H13" i="8"/>
  <c r="M4" i="8"/>
  <c r="M6" i="8" s="1"/>
  <c r="H3" i="8"/>
  <c r="P12" i="9" l="1"/>
  <c r="AF12" i="9"/>
  <c r="Q12" i="9"/>
  <c r="AG12" i="9"/>
  <c r="T12" i="9"/>
  <c r="AL12" i="9"/>
  <c r="AL13" i="9" s="1"/>
  <c r="Y12" i="9"/>
  <c r="Y13" i="9" s="1"/>
  <c r="AP12" i="9"/>
  <c r="AP13" i="9" s="1"/>
  <c r="K12" i="9"/>
  <c r="K13" i="9" s="1"/>
  <c r="R12" i="9"/>
  <c r="R13" i="9" s="1"/>
  <c r="AH12" i="9"/>
  <c r="AH13" i="9" s="1"/>
  <c r="AH88" i="9" s="1"/>
  <c r="S12" i="9"/>
  <c r="S13" i="9" s="1"/>
  <c r="AI12" i="9"/>
  <c r="AI13" i="9" s="1"/>
  <c r="AJ12" i="9"/>
  <c r="AJ13" i="9" s="1"/>
  <c r="AJ88" i="9" s="1"/>
  <c r="AK12" i="9"/>
  <c r="AK13" i="9" s="1"/>
  <c r="AO12" i="9"/>
  <c r="AO13" i="9" s="1"/>
  <c r="Z12" i="9"/>
  <c r="AA12" i="9"/>
  <c r="I12" i="9"/>
  <c r="AD12" i="9"/>
  <c r="U12" i="9"/>
  <c r="U13" i="9" s="1"/>
  <c r="AB12" i="9"/>
  <c r="V12" i="9"/>
  <c r="V13" i="9" s="1"/>
  <c r="AE12" i="9"/>
  <c r="AE13" i="9" s="1"/>
  <c r="W12" i="9"/>
  <c r="W13" i="9" s="1"/>
  <c r="AM12" i="9"/>
  <c r="AM13" i="9" s="1"/>
  <c r="AN12" i="9"/>
  <c r="AN13" i="9" s="1"/>
  <c r="J12" i="9"/>
  <c r="J13" i="9" s="1"/>
  <c r="L12" i="9"/>
  <c r="L13" i="9" s="1"/>
  <c r="M12" i="9"/>
  <c r="M13" i="9" s="1"/>
  <c r="M88" i="9" s="1"/>
  <c r="X12" i="9"/>
  <c r="X13" i="9" s="1"/>
  <c r="X88" i="9" s="1"/>
  <c r="AQ12" i="9"/>
  <c r="AQ13" i="9" s="1"/>
  <c r="AC12" i="9"/>
  <c r="O12" i="9"/>
  <c r="N12" i="9"/>
  <c r="N13" i="9" s="1"/>
  <c r="Z13" i="9"/>
  <c r="AA13" i="9"/>
  <c r="AB13" i="9"/>
  <c r="AD13" i="9"/>
  <c r="AC13" i="9"/>
  <c r="O13" i="9"/>
  <c r="T13" i="9"/>
  <c r="P13" i="9"/>
  <c r="AF13" i="9"/>
  <c r="Q13" i="9"/>
  <c r="AG13" i="9"/>
  <c r="I6" i="9"/>
  <c r="O4" i="8"/>
  <c r="O5" i="8" s="1"/>
  <c r="M5" i="8"/>
  <c r="E33" i="9"/>
  <c r="H25" i="8"/>
  <c r="H27" i="8"/>
  <c r="E37" i="9"/>
  <c r="F69" i="9"/>
  <c r="H89" i="9"/>
  <c r="H90" i="9"/>
  <c r="I4" i="9"/>
  <c r="K4" i="9"/>
  <c r="J4" i="9"/>
  <c r="L4" i="9"/>
  <c r="M2" i="9"/>
  <c r="J3" i="9"/>
  <c r="J6" i="9" s="1"/>
  <c r="K88" i="9" l="1"/>
  <c r="AI88" i="9"/>
  <c r="Y88" i="9"/>
  <c r="AL88" i="9"/>
  <c r="R88" i="9"/>
  <c r="S88" i="9"/>
  <c r="N88" i="9"/>
  <c r="N91" i="9" s="1"/>
  <c r="AC88" i="9"/>
  <c r="AC91" i="9" s="1"/>
  <c r="O88" i="9"/>
  <c r="O91" i="9" s="1"/>
  <c r="AN88" i="9"/>
  <c r="AN91" i="9" s="1"/>
  <c r="Q88" i="9"/>
  <c r="AD88" i="9"/>
  <c r="AD91" i="9" s="1"/>
  <c r="V88" i="9"/>
  <c r="V91" i="9" s="1"/>
  <c r="AB88" i="9"/>
  <c r="AB91" i="9" s="1"/>
  <c r="L88" i="9"/>
  <c r="L91" i="9" s="1"/>
  <c r="AG88" i="9"/>
  <c r="AG91" i="9" s="1"/>
  <c r="P88" i="9"/>
  <c r="P91" i="9" s="1"/>
  <c r="AQ88" i="9"/>
  <c r="AQ91" i="9" s="1"/>
  <c r="AO88" i="9"/>
  <c r="AO91" i="9" s="1"/>
  <c r="AA88" i="9"/>
  <c r="W88" i="9"/>
  <c r="W91" i="9" s="1"/>
  <c r="AF88" i="9"/>
  <c r="AF91" i="9" s="1"/>
  <c r="AK88" i="9"/>
  <c r="AK91" i="9" s="1"/>
  <c r="AP88" i="9"/>
  <c r="AP91" i="9" s="1"/>
  <c r="AM88" i="9"/>
  <c r="AM91" i="9" s="1"/>
  <c r="T88" i="9"/>
  <c r="T91" i="9" s="1"/>
  <c r="Z88" i="9"/>
  <c r="Z91" i="9" s="1"/>
  <c r="U88" i="9"/>
  <c r="U91" i="9" s="1"/>
  <c r="AE88" i="9"/>
  <c r="AE91" i="9" s="1"/>
  <c r="J88" i="9"/>
  <c r="J91" i="9" s="1"/>
  <c r="Q91" i="9"/>
  <c r="I13" i="9"/>
  <c r="H12" i="9"/>
  <c r="O6" i="8"/>
  <c r="Q4" i="8"/>
  <c r="AA91" i="9"/>
  <c r="K91" i="9"/>
  <c r="Y91" i="9"/>
  <c r="M91" i="9"/>
  <c r="S91" i="9"/>
  <c r="AH91" i="9"/>
  <c r="L32" i="9"/>
  <c r="L33" i="9"/>
  <c r="J32" i="9"/>
  <c r="J33" i="9"/>
  <c r="K32" i="9"/>
  <c r="K33" i="9"/>
  <c r="I33" i="9"/>
  <c r="I32" i="9"/>
  <c r="L29" i="9"/>
  <c r="L30" i="9"/>
  <c r="J29" i="9"/>
  <c r="J30" i="9"/>
  <c r="K30" i="9"/>
  <c r="K29" i="9"/>
  <c r="I29" i="9"/>
  <c r="I30" i="9"/>
  <c r="K5" i="9"/>
  <c r="AL91" i="9"/>
  <c r="R91" i="9"/>
  <c r="AJ91" i="9"/>
  <c r="AI91" i="9"/>
  <c r="X91" i="9"/>
  <c r="I5" i="9"/>
  <c r="S4" i="8"/>
  <c r="Q6" i="8"/>
  <c r="Q5" i="8"/>
  <c r="J19" i="9"/>
  <c r="K3" i="9"/>
  <c r="K6" i="9" s="1"/>
  <c r="L5" i="9"/>
  <c r="M4" i="9"/>
  <c r="N2" i="9"/>
  <c r="J5" i="9"/>
  <c r="H13" i="9" l="1"/>
  <c r="I88" i="9"/>
  <c r="I91" i="9" s="1"/>
  <c r="L48" i="9"/>
  <c r="L52" i="9" s="1"/>
  <c r="J48" i="9"/>
  <c r="J52" i="9" s="1"/>
  <c r="K47" i="9"/>
  <c r="K73" i="9" s="1"/>
  <c r="M32" i="9"/>
  <c r="M33" i="9"/>
  <c r="M29" i="9"/>
  <c r="M30" i="9"/>
  <c r="K48" i="9"/>
  <c r="K52" i="9" s="1"/>
  <c r="K46" i="9"/>
  <c r="K57" i="9" s="1"/>
  <c r="K39" i="9"/>
  <c r="K96" i="9" s="1"/>
  <c r="I39" i="9"/>
  <c r="I96" i="9" s="1"/>
  <c r="H91" i="9"/>
  <c r="H88" i="9"/>
  <c r="I46" i="9"/>
  <c r="I57" i="9" s="1"/>
  <c r="J39" i="9"/>
  <c r="J96" i="9" s="1"/>
  <c r="J47" i="9"/>
  <c r="J73" i="9" s="1"/>
  <c r="J37" i="9"/>
  <c r="L46" i="9"/>
  <c r="L57" i="9" s="1"/>
  <c r="I48" i="9"/>
  <c r="I52" i="9" s="1"/>
  <c r="I53" i="9" s="1"/>
  <c r="I23" i="9" s="1"/>
  <c r="I47" i="9"/>
  <c r="K37" i="9"/>
  <c r="K38" i="9"/>
  <c r="K95" i="9" s="1"/>
  <c r="L39" i="9"/>
  <c r="U4" i="8"/>
  <c r="S6" i="8"/>
  <c r="S5" i="8"/>
  <c r="J53" i="9"/>
  <c r="J23" i="9" s="1"/>
  <c r="K19" i="9"/>
  <c r="L3" i="9"/>
  <c r="L6" i="9" s="1"/>
  <c r="N4" i="9"/>
  <c r="O2" i="9"/>
  <c r="M5" i="9"/>
  <c r="I54" i="9" l="1"/>
  <c r="I80" i="9" s="1"/>
  <c r="M39" i="9"/>
  <c r="M96" i="9" s="1"/>
  <c r="N32" i="9"/>
  <c r="N33" i="9"/>
  <c r="N29" i="9"/>
  <c r="N30" i="9"/>
  <c r="L47" i="9"/>
  <c r="L73" i="9" s="1"/>
  <c r="J38" i="9"/>
  <c r="J95" i="9" s="1"/>
  <c r="J46" i="9"/>
  <c r="J57" i="9" s="1"/>
  <c r="M48" i="9"/>
  <c r="M52" i="9" s="1"/>
  <c r="M46" i="9"/>
  <c r="M57" i="9" s="1"/>
  <c r="I38" i="9"/>
  <c r="I95" i="9" s="1"/>
  <c r="I37" i="9"/>
  <c r="K53" i="9"/>
  <c r="J94" i="9"/>
  <c r="L19" i="9"/>
  <c r="M3" i="9"/>
  <c r="M6" i="9" s="1"/>
  <c r="I73" i="9"/>
  <c r="L96" i="9"/>
  <c r="J54" i="9"/>
  <c r="J80" i="9" s="1"/>
  <c r="L37" i="9"/>
  <c r="L38" i="9"/>
  <c r="L95" i="9" s="1"/>
  <c r="K94" i="9"/>
  <c r="K97" i="9" s="1"/>
  <c r="K40" i="9"/>
  <c r="K43" i="9" s="1"/>
  <c r="O4" i="9"/>
  <c r="P2" i="9"/>
  <c r="W4" i="8"/>
  <c r="U6" i="8"/>
  <c r="U5" i="8"/>
  <c r="N5" i="9"/>
  <c r="J97" i="9" l="1"/>
  <c r="J40" i="9"/>
  <c r="J43" i="9" s="1"/>
  <c r="N48" i="9"/>
  <c r="O32" i="9"/>
  <c r="O33" i="9"/>
  <c r="O29" i="9"/>
  <c r="O30" i="9"/>
  <c r="M47" i="9"/>
  <c r="M73" i="9" s="1"/>
  <c r="N39" i="9"/>
  <c r="N96" i="9" s="1"/>
  <c r="N38" i="9"/>
  <c r="N95" i="9" s="1"/>
  <c r="I40" i="9"/>
  <c r="I43" i="9" s="1"/>
  <c r="I94" i="9"/>
  <c r="I97" i="9" s="1"/>
  <c r="N52" i="9"/>
  <c r="O5" i="9"/>
  <c r="M37" i="9"/>
  <c r="M38" i="9"/>
  <c r="J102" i="9"/>
  <c r="L53" i="9"/>
  <c r="K23" i="9"/>
  <c r="K54" i="9"/>
  <c r="K80" i="9" s="1"/>
  <c r="L94" i="9"/>
  <c r="L40" i="9"/>
  <c r="M19" i="9"/>
  <c r="N3" i="9"/>
  <c r="N6" i="9" s="1"/>
  <c r="W5" i="8"/>
  <c r="Y4" i="8"/>
  <c r="W6" i="8"/>
  <c r="P4" i="9"/>
  <c r="Q2" i="9"/>
  <c r="I102" i="9"/>
  <c r="P33" i="9" l="1"/>
  <c r="P32" i="9"/>
  <c r="P29" i="9"/>
  <c r="P30" i="9"/>
  <c r="N37" i="9"/>
  <c r="N94" i="9" s="1"/>
  <c r="N97" i="9" s="1"/>
  <c r="O48" i="9"/>
  <c r="O52" i="9" s="1"/>
  <c r="O39" i="9"/>
  <c r="O96" i="9" s="1"/>
  <c r="O38" i="9"/>
  <c r="O95" i="9" s="1"/>
  <c r="O37" i="9"/>
  <c r="M94" i="9"/>
  <c r="M40" i="9"/>
  <c r="M43" i="9" s="1"/>
  <c r="R2" i="9"/>
  <c r="Q4" i="9"/>
  <c r="L43" i="9"/>
  <c r="K102" i="9"/>
  <c r="L23" i="9"/>
  <c r="L54" i="9"/>
  <c r="L97" i="9"/>
  <c r="P5" i="9"/>
  <c r="Y5" i="8"/>
  <c r="Y6" i="8"/>
  <c r="AA4" i="8"/>
  <c r="N47" i="9"/>
  <c r="N46" i="9"/>
  <c r="N19" i="9"/>
  <c r="O3" i="9"/>
  <c r="O6" i="9" s="1"/>
  <c r="M53" i="9"/>
  <c r="M95" i="9"/>
  <c r="N53" i="9"/>
  <c r="N23" i="9" s="1"/>
  <c r="Q32" i="9" l="1"/>
  <c r="Q33" i="9"/>
  <c r="Q29" i="9"/>
  <c r="Q30" i="9"/>
  <c r="N40" i="9"/>
  <c r="N43" i="9" s="1"/>
  <c r="N54" i="9"/>
  <c r="N80" i="9" s="1"/>
  <c r="N102" i="9" s="1"/>
  <c r="P38" i="9"/>
  <c r="P37" i="9"/>
  <c r="M23" i="9"/>
  <c r="M54" i="9"/>
  <c r="M80" i="9" s="1"/>
  <c r="Q5" i="9"/>
  <c r="O47" i="9"/>
  <c r="O73" i="9" s="1"/>
  <c r="O46" i="9"/>
  <c r="O57" i="9" s="1"/>
  <c r="S2" i="9"/>
  <c r="R4" i="9"/>
  <c r="P48" i="9"/>
  <c r="P52" i="9" s="1"/>
  <c r="P39" i="9"/>
  <c r="N57" i="9"/>
  <c r="L80" i="9"/>
  <c r="M97" i="9"/>
  <c r="N73" i="9"/>
  <c r="O94" i="9"/>
  <c r="O40" i="9"/>
  <c r="P3" i="9"/>
  <c r="P6" i="9" s="1"/>
  <c r="O19" i="9"/>
  <c r="AA5" i="8"/>
  <c r="AC4" i="8"/>
  <c r="AA6" i="8"/>
  <c r="R33" i="9" l="1"/>
  <c r="R32" i="9"/>
  <c r="R30" i="9"/>
  <c r="R29" i="9"/>
  <c r="Q38" i="9"/>
  <c r="Q95" i="9" s="1"/>
  <c r="Q48" i="9"/>
  <c r="Q52" i="9" s="1"/>
  <c r="Q47" i="9"/>
  <c r="Q73" i="9" s="1"/>
  <c r="Q46" i="9"/>
  <c r="Q57" i="9" s="1"/>
  <c r="L102" i="9"/>
  <c r="AC5" i="8"/>
  <c r="AC6" i="8"/>
  <c r="AE4" i="8"/>
  <c r="AG4" i="8" s="1"/>
  <c r="P96" i="9"/>
  <c r="M102" i="9"/>
  <c r="P53" i="9"/>
  <c r="P23" i="9" s="1"/>
  <c r="Q39" i="9"/>
  <c r="Q96" i="9" s="1"/>
  <c r="O53" i="9"/>
  <c r="P47" i="9"/>
  <c r="P73" i="9" s="1"/>
  <c r="P46" i="9"/>
  <c r="P57" i="9" s="1"/>
  <c r="P19" i="9"/>
  <c r="Q3" i="9"/>
  <c r="Q6" i="9" s="1"/>
  <c r="O43" i="9"/>
  <c r="R5" i="9"/>
  <c r="P94" i="9"/>
  <c r="P40" i="9"/>
  <c r="P43" i="9" s="1"/>
  <c r="O97" i="9"/>
  <c r="T2" i="9"/>
  <c r="S4" i="9"/>
  <c r="P95" i="9"/>
  <c r="AG6" i="8" l="1"/>
  <c r="AG5" i="8"/>
  <c r="S33" i="9"/>
  <c r="S32" i="9"/>
  <c r="S30" i="9"/>
  <c r="S29" i="9"/>
  <c r="R48" i="9"/>
  <c r="R52" i="9" s="1"/>
  <c r="Q37" i="9"/>
  <c r="Q40" i="9" s="1"/>
  <c r="Q43" i="9" s="1"/>
  <c r="R39" i="9"/>
  <c r="R96" i="9" s="1"/>
  <c r="P54" i="9"/>
  <c r="P80" i="9" s="1"/>
  <c r="P102" i="9" s="1"/>
  <c r="R47" i="9"/>
  <c r="R73" i="9" s="1"/>
  <c r="R46" i="9"/>
  <c r="P97" i="9"/>
  <c r="O23" i="9"/>
  <c r="O54" i="9"/>
  <c r="Q94" i="9"/>
  <c r="Q19" i="9"/>
  <c r="R3" i="9"/>
  <c r="R6" i="9" s="1"/>
  <c r="AE6" i="8"/>
  <c r="AE5" i="8"/>
  <c r="R38" i="9"/>
  <c r="R95" i="9" s="1"/>
  <c r="R37" i="9"/>
  <c r="S5" i="9"/>
  <c r="T4" i="9"/>
  <c r="U2" i="9"/>
  <c r="T33" i="9" l="1"/>
  <c r="T32" i="9"/>
  <c r="T29" i="9"/>
  <c r="T30" i="9"/>
  <c r="S46" i="9"/>
  <c r="S57" i="9" s="1"/>
  <c r="S38" i="9"/>
  <c r="S95" i="9" s="1"/>
  <c r="S37" i="9"/>
  <c r="Q97" i="9"/>
  <c r="R94" i="9"/>
  <c r="R97" i="9" s="1"/>
  <c r="R40" i="9"/>
  <c r="T5" i="9"/>
  <c r="R57" i="9"/>
  <c r="R19" i="9"/>
  <c r="S3" i="9"/>
  <c r="S6" i="9" s="1"/>
  <c r="S39" i="9"/>
  <c r="S96" i="9" s="1"/>
  <c r="O80" i="9"/>
  <c r="U4" i="9"/>
  <c r="V2" i="9"/>
  <c r="S48" i="9"/>
  <c r="S52" i="9" s="1"/>
  <c r="Q53" i="9"/>
  <c r="T39" i="9" l="1"/>
  <c r="T96" i="9" s="1"/>
  <c r="U33" i="9"/>
  <c r="U32" i="9"/>
  <c r="U29" i="9"/>
  <c r="U30" i="9"/>
  <c r="T46" i="9"/>
  <c r="T38" i="9"/>
  <c r="T95" i="9" s="1"/>
  <c r="T48" i="9"/>
  <c r="T52" i="9" s="1"/>
  <c r="S47" i="9"/>
  <c r="S73" i="9" s="1"/>
  <c r="Q23" i="9"/>
  <c r="Q54" i="9"/>
  <c r="U5" i="9"/>
  <c r="U48" i="9" s="1"/>
  <c r="U52" i="9" s="1"/>
  <c r="O102" i="9"/>
  <c r="S19" i="9"/>
  <c r="S53" i="9"/>
  <c r="S23" i="9" s="1"/>
  <c r="T3" i="9"/>
  <c r="T6" i="9" s="1"/>
  <c r="V4" i="9"/>
  <c r="W2" i="9"/>
  <c r="R43" i="9"/>
  <c r="R53" i="9"/>
  <c r="S94" i="9"/>
  <c r="S97" i="9" s="1"/>
  <c r="S40" i="9"/>
  <c r="S43" i="9" s="1"/>
  <c r="V32" i="9" l="1"/>
  <c r="V33" i="9"/>
  <c r="V29" i="9"/>
  <c r="V30" i="9"/>
  <c r="T37" i="9"/>
  <c r="T94" i="9" s="1"/>
  <c r="T97" i="9" s="1"/>
  <c r="T47" i="9"/>
  <c r="T73" i="9" s="1"/>
  <c r="S54" i="9"/>
  <c r="S80" i="9" s="1"/>
  <c r="S102" i="9" s="1"/>
  <c r="V5" i="9"/>
  <c r="T19" i="9"/>
  <c r="U3" i="9"/>
  <c r="U6" i="9" s="1"/>
  <c r="U39" i="9"/>
  <c r="U96" i="9" s="1"/>
  <c r="W4" i="9"/>
  <c r="X2" i="9"/>
  <c r="Q80" i="9"/>
  <c r="T57" i="9"/>
  <c r="R23" i="9"/>
  <c r="R54" i="9"/>
  <c r="R80" i="9" s="1"/>
  <c r="W32" i="9" l="1"/>
  <c r="W33" i="9"/>
  <c r="W30" i="9"/>
  <c r="W29" i="9"/>
  <c r="T40" i="9"/>
  <c r="T43" i="9" s="1"/>
  <c r="V47" i="9"/>
  <c r="V73" i="9" s="1"/>
  <c r="V46" i="9"/>
  <c r="V57" i="9" s="1"/>
  <c r="U47" i="9"/>
  <c r="U73" i="9" s="1"/>
  <c r="U46" i="9"/>
  <c r="U57" i="9" s="1"/>
  <c r="R102" i="9"/>
  <c r="U19" i="9"/>
  <c r="V3" i="9"/>
  <c r="V6" i="9" s="1"/>
  <c r="Q102" i="9"/>
  <c r="T53" i="9"/>
  <c r="V48" i="9"/>
  <c r="V52" i="9" s="1"/>
  <c r="Y2" i="9"/>
  <c r="X4" i="9"/>
  <c r="W5" i="9"/>
  <c r="V39" i="9"/>
  <c r="V96" i="9" s="1"/>
  <c r="U38" i="9"/>
  <c r="U95" i="9" s="1"/>
  <c r="U37" i="9"/>
  <c r="X33" i="9" l="1"/>
  <c r="X32" i="9"/>
  <c r="X30" i="9"/>
  <c r="X29" i="9"/>
  <c r="W47" i="9"/>
  <c r="W73" i="9" s="1"/>
  <c r="W46" i="9"/>
  <c r="W57" i="9" s="1"/>
  <c r="T23" i="9"/>
  <c r="T54" i="9"/>
  <c r="T80" i="9" s="1"/>
  <c r="U94" i="9"/>
  <c r="U97" i="9" s="1"/>
  <c r="U40" i="9"/>
  <c r="U43" i="9" s="1"/>
  <c r="W39" i="9"/>
  <c r="W96" i="9" s="1"/>
  <c r="V38" i="9"/>
  <c r="V95" i="9" s="1"/>
  <c r="V37" i="9"/>
  <c r="V19" i="9"/>
  <c r="W3" i="9"/>
  <c r="W6" i="9" s="1"/>
  <c r="X5" i="9"/>
  <c r="U53" i="9"/>
  <c r="W48" i="9"/>
  <c r="W52" i="9" s="1"/>
  <c r="Z2" i="9"/>
  <c r="Y4" i="9"/>
  <c r="X48" i="9" l="1"/>
  <c r="X52" i="9" s="1"/>
  <c r="Y33" i="9"/>
  <c r="Y32" i="9"/>
  <c r="Y30" i="9"/>
  <c r="Y29" i="9"/>
  <c r="AA2" i="9"/>
  <c r="Z4" i="9"/>
  <c r="V94" i="9"/>
  <c r="V97" i="9" s="1"/>
  <c r="V40" i="9"/>
  <c r="V43" i="9" s="1"/>
  <c r="U23" i="9"/>
  <c r="U54" i="9"/>
  <c r="U80" i="9" s="1"/>
  <c r="W19" i="9"/>
  <c r="X3" i="9"/>
  <c r="X6" i="9" s="1"/>
  <c r="W38" i="9"/>
  <c r="W95" i="9" s="1"/>
  <c r="W37" i="9"/>
  <c r="V53" i="9"/>
  <c r="X39" i="9"/>
  <c r="X96" i="9" s="1"/>
  <c r="Y5" i="9"/>
  <c r="T102" i="9"/>
  <c r="Z32" i="9" l="1"/>
  <c r="Z33" i="9"/>
  <c r="Z29" i="9"/>
  <c r="Z30" i="9"/>
  <c r="Y39" i="9"/>
  <c r="Y96" i="9" s="1"/>
  <c r="Y47" i="9"/>
  <c r="Y73" i="9" s="1"/>
  <c r="Y48" i="9"/>
  <c r="Y52" i="9" s="1"/>
  <c r="U102" i="9"/>
  <c r="Y38" i="9"/>
  <c r="Y95" i="9" s="1"/>
  <c r="Y37" i="9"/>
  <c r="X47" i="9"/>
  <c r="X73" i="9" s="1"/>
  <c r="X46" i="9"/>
  <c r="X57" i="9" s="1"/>
  <c r="W53" i="9"/>
  <c r="V23" i="9"/>
  <c r="V54" i="9"/>
  <c r="V80" i="9" s="1"/>
  <c r="W94" i="9"/>
  <c r="W97" i="9" s="1"/>
  <c r="W40" i="9"/>
  <c r="W43" i="9" s="1"/>
  <c r="AB2" i="9"/>
  <c r="AA4" i="9"/>
  <c r="X38" i="9"/>
  <c r="X95" i="9" s="1"/>
  <c r="X37" i="9"/>
  <c r="Z5" i="9"/>
  <c r="X19" i="9"/>
  <c r="Y3" i="9"/>
  <c r="Y6" i="9" s="1"/>
  <c r="AA32" i="9" l="1"/>
  <c r="AA33" i="9"/>
  <c r="AA29" i="9"/>
  <c r="AA30" i="9"/>
  <c r="Y46" i="9"/>
  <c r="Y57" i="9" s="1"/>
  <c r="Z48" i="9"/>
  <c r="Z52" i="9" s="1"/>
  <c r="Z39" i="9"/>
  <c r="Z96" i="9" s="1"/>
  <c r="V102" i="9"/>
  <c r="W23" i="9"/>
  <c r="W54" i="9"/>
  <c r="W80" i="9" s="1"/>
  <c r="Z3" i="9"/>
  <c r="Z6" i="9" s="1"/>
  <c r="Y19" i="9"/>
  <c r="Y40" i="9"/>
  <c r="Y43" i="9" s="1"/>
  <c r="Y94" i="9"/>
  <c r="Y97" i="9" s="1"/>
  <c r="Z47" i="9"/>
  <c r="Z73" i="9" s="1"/>
  <c r="Z46" i="9"/>
  <c r="Z57" i="9" s="1"/>
  <c r="X40" i="9"/>
  <c r="X43" i="9" s="1"/>
  <c r="X94" i="9"/>
  <c r="X97" i="9" s="1"/>
  <c r="AA5" i="9"/>
  <c r="Z37" i="9"/>
  <c r="Z38" i="9"/>
  <c r="Z95" i="9" s="1"/>
  <c r="AB4" i="9"/>
  <c r="AC2" i="9"/>
  <c r="X53" i="9"/>
  <c r="AB32" i="9" l="1"/>
  <c r="AB33" i="9"/>
  <c r="AB30" i="9"/>
  <c r="AB29" i="9"/>
  <c r="AA39" i="9"/>
  <c r="AA96" i="9" s="1"/>
  <c r="AA48" i="9"/>
  <c r="AA52" i="9" s="1"/>
  <c r="AA46" i="9"/>
  <c r="AA57" i="9" s="1"/>
  <c r="AB5" i="9"/>
  <c r="Y53" i="9"/>
  <c r="Z19" i="9"/>
  <c r="AA3" i="9"/>
  <c r="AA6" i="9" s="1"/>
  <c r="W102" i="9"/>
  <c r="X23" i="9"/>
  <c r="X54" i="9"/>
  <c r="X80" i="9" s="1"/>
  <c r="AC4" i="9"/>
  <c r="AD2" i="9"/>
  <c r="Z94" i="9"/>
  <c r="Z97" i="9" s="1"/>
  <c r="Z40" i="9"/>
  <c r="Z43" i="9" s="1"/>
  <c r="AB39" i="9" l="1"/>
  <c r="AB96" i="9" s="1"/>
  <c r="AC33" i="9"/>
  <c r="AC32" i="9"/>
  <c r="AC29" i="9"/>
  <c r="AC30" i="9"/>
  <c r="AA47" i="9"/>
  <c r="AA73" i="9" s="1"/>
  <c r="AB48" i="9"/>
  <c r="AB52" i="9" s="1"/>
  <c r="AB47" i="9"/>
  <c r="AB73" i="9" s="1"/>
  <c r="AB37" i="9"/>
  <c r="Z53" i="9"/>
  <c r="AE2" i="9"/>
  <c r="AD4" i="9"/>
  <c r="AC5" i="9"/>
  <c r="AA37" i="9"/>
  <c r="AA38" i="9"/>
  <c r="AA95" i="9" s="1"/>
  <c r="AA19" i="9"/>
  <c r="AB3" i="9"/>
  <c r="AB6" i="9" s="1"/>
  <c r="Y23" i="9"/>
  <c r="Y54" i="9"/>
  <c r="Y80" i="9" s="1"/>
  <c r="X102" i="9"/>
  <c r="AC39" i="9" l="1"/>
  <c r="AC96" i="9" s="1"/>
  <c r="AD32" i="9"/>
  <c r="AD33" i="9"/>
  <c r="AD29" i="9"/>
  <c r="AD30" i="9"/>
  <c r="AC48" i="9"/>
  <c r="AC52" i="9" s="1"/>
  <c r="AC47" i="9"/>
  <c r="AC73" i="9" s="1"/>
  <c r="AB46" i="9"/>
  <c r="AB57" i="9" s="1"/>
  <c r="AB38" i="9"/>
  <c r="AB95" i="9" s="1"/>
  <c r="AA53" i="9"/>
  <c r="AB19" i="9"/>
  <c r="AC3" i="9"/>
  <c r="AC6" i="9" s="1"/>
  <c r="AC37" i="9"/>
  <c r="AC38" i="9"/>
  <c r="AC95" i="9" s="1"/>
  <c r="AF2" i="9"/>
  <c r="AE4" i="9"/>
  <c r="Z23" i="9"/>
  <c r="Z54" i="9"/>
  <c r="Z80" i="9" s="1"/>
  <c r="AA94" i="9"/>
  <c r="AA97" i="9" s="1"/>
  <c r="AA40" i="9"/>
  <c r="AA43" i="9" s="1"/>
  <c r="AB94" i="9"/>
  <c r="AD5" i="9"/>
  <c r="Y102" i="9"/>
  <c r="AE32" i="9" l="1"/>
  <c r="AE33" i="9"/>
  <c r="AE29" i="9"/>
  <c r="AE30" i="9"/>
  <c r="AC46" i="9"/>
  <c r="AC57" i="9" s="1"/>
  <c r="AB40" i="9"/>
  <c r="AB43" i="9" s="1"/>
  <c r="AB97" i="9"/>
  <c r="AD48" i="9"/>
  <c r="AD52" i="9" s="1"/>
  <c r="AD37" i="9"/>
  <c r="AD39" i="9"/>
  <c r="AD96" i="9" s="1"/>
  <c r="AD47" i="9"/>
  <c r="AD73" i="9" s="1"/>
  <c r="AD46" i="9"/>
  <c r="AD57" i="9" s="1"/>
  <c r="AG2" i="9"/>
  <c r="AF4" i="9"/>
  <c r="AC19" i="9"/>
  <c r="AD3" i="9"/>
  <c r="AD6" i="9" s="1"/>
  <c r="AB53" i="9"/>
  <c r="AA23" i="9"/>
  <c r="AA54" i="9"/>
  <c r="AA80" i="9" s="1"/>
  <c r="AE5" i="9"/>
  <c r="AC94" i="9"/>
  <c r="AC97" i="9" s="1"/>
  <c r="AC40" i="9"/>
  <c r="AC43" i="9" s="1"/>
  <c r="Z102" i="9"/>
  <c r="AF32" i="9" l="1"/>
  <c r="AF33" i="9"/>
  <c r="AF29" i="9"/>
  <c r="AF30" i="9"/>
  <c r="AE39" i="9"/>
  <c r="AE96" i="9" s="1"/>
  <c r="AE48" i="9"/>
  <c r="AE52" i="9" s="1"/>
  <c r="AD38" i="9"/>
  <c r="AD95" i="9" s="1"/>
  <c r="AE47" i="9"/>
  <c r="AE73" i="9" s="1"/>
  <c r="AE46" i="9"/>
  <c r="AE57" i="9" s="1"/>
  <c r="AC53" i="9"/>
  <c r="AD94" i="9"/>
  <c r="AD97" i="9" s="1"/>
  <c r="AD40" i="9"/>
  <c r="AD43" i="9" s="1"/>
  <c r="AF5" i="9"/>
  <c r="AH2" i="9"/>
  <c r="AG4" i="9"/>
  <c r="AB23" i="9"/>
  <c r="AB54" i="9"/>
  <c r="AB80" i="9" s="1"/>
  <c r="AD19" i="9"/>
  <c r="AE3" i="9"/>
  <c r="AE6" i="9" s="1"/>
  <c r="AA102" i="9"/>
  <c r="AG32" i="9" l="1"/>
  <c r="AG33" i="9"/>
  <c r="AG29" i="9"/>
  <c r="AG30" i="9"/>
  <c r="AF48" i="9"/>
  <c r="AF52" i="9" s="1"/>
  <c r="AF38" i="9"/>
  <c r="AF95" i="9" s="1"/>
  <c r="AF37" i="9"/>
  <c r="AF39" i="9"/>
  <c r="AF96" i="9" s="1"/>
  <c r="AE38" i="9"/>
  <c r="AE95" i="9" s="1"/>
  <c r="AE37" i="9"/>
  <c r="AD53" i="9"/>
  <c r="AB102" i="9"/>
  <c r="AF3" i="9"/>
  <c r="AF6" i="9" s="1"/>
  <c r="AE19" i="9"/>
  <c r="AG5" i="9"/>
  <c r="AC23" i="9"/>
  <c r="AC54" i="9"/>
  <c r="AC80" i="9" s="1"/>
  <c r="AI2" i="9"/>
  <c r="AH4" i="9"/>
  <c r="AH33" i="9" l="1"/>
  <c r="AH32" i="9"/>
  <c r="AH30" i="9"/>
  <c r="AH29" i="9"/>
  <c r="AG48" i="9"/>
  <c r="AG52" i="9" s="1"/>
  <c r="AG39" i="9"/>
  <c r="AG96" i="9" s="1"/>
  <c r="AG47" i="9"/>
  <c r="AG73" i="9" s="1"/>
  <c r="AG46" i="9"/>
  <c r="AG57" i="9" s="1"/>
  <c r="AD23" i="9"/>
  <c r="AD54" i="9"/>
  <c r="AD80" i="9" s="1"/>
  <c r="AF19" i="9"/>
  <c r="AG3" i="9"/>
  <c r="AG6" i="9" s="1"/>
  <c r="AH5" i="9"/>
  <c r="AC102" i="9"/>
  <c r="AG38" i="9"/>
  <c r="AG95" i="9" s="1"/>
  <c r="AG37" i="9"/>
  <c r="AF47" i="9"/>
  <c r="AF73" i="9" s="1"/>
  <c r="AF46" i="9"/>
  <c r="AF57" i="9" s="1"/>
  <c r="AF94" i="9"/>
  <c r="AF97" i="9" s="1"/>
  <c r="AF40" i="9"/>
  <c r="AF43" i="9" s="1"/>
  <c r="AJ2" i="9"/>
  <c r="AI4" i="9"/>
  <c r="AE94" i="9"/>
  <c r="AE97" i="9" s="1"/>
  <c r="AE40" i="9"/>
  <c r="AE43" i="9" s="1"/>
  <c r="AE53" i="9"/>
  <c r="AI33" i="9" l="1"/>
  <c r="AI32" i="9"/>
  <c r="AI30" i="9"/>
  <c r="AI29" i="9"/>
  <c r="AH48" i="9"/>
  <c r="AH52" i="9" s="1"/>
  <c r="AH39" i="9"/>
  <c r="AH96" i="9" s="1"/>
  <c r="AH47" i="9"/>
  <c r="AH73" i="9" s="1"/>
  <c r="AH46" i="9"/>
  <c r="AH57" i="9" s="1"/>
  <c r="AE23" i="9"/>
  <c r="AE54" i="9"/>
  <c r="AE80" i="9" s="1"/>
  <c r="AI5" i="9"/>
  <c r="AI39" i="9" s="1"/>
  <c r="AI96" i="9" s="1"/>
  <c r="AJ4" i="9"/>
  <c r="AK2" i="9"/>
  <c r="AG94" i="9"/>
  <c r="AG97" i="9" s="1"/>
  <c r="AG40" i="9"/>
  <c r="AG43" i="9" s="1"/>
  <c r="AG19" i="9"/>
  <c r="AH3" i="9"/>
  <c r="AH6" i="9" s="1"/>
  <c r="AF53" i="9"/>
  <c r="AD102" i="9"/>
  <c r="AJ32" i="9" l="1"/>
  <c r="AJ33" i="9"/>
  <c r="AJ30" i="9"/>
  <c r="AJ29" i="9"/>
  <c r="AI48" i="9"/>
  <c r="AI52" i="9" s="1"/>
  <c r="AI38" i="9"/>
  <c r="AI95" i="9" s="1"/>
  <c r="AH38" i="9"/>
  <c r="AH95" i="9" s="1"/>
  <c r="AH37" i="9"/>
  <c r="AH19" i="9"/>
  <c r="AI3" i="9"/>
  <c r="AI6" i="9" s="1"/>
  <c r="AJ5" i="9"/>
  <c r="AI46" i="9"/>
  <c r="AI57" i="9" s="1"/>
  <c r="AI47" i="9"/>
  <c r="AI73" i="9" s="1"/>
  <c r="AI37" i="9"/>
  <c r="AK4" i="9"/>
  <c r="AL2" i="9"/>
  <c r="AG53" i="9"/>
  <c r="AF23" i="9"/>
  <c r="AF54" i="9"/>
  <c r="AF80" i="9" s="1"/>
  <c r="AE102" i="9"/>
  <c r="AK32" i="9" l="1"/>
  <c r="AK33" i="9"/>
  <c r="AJ39" i="9"/>
  <c r="AJ96" i="9" s="1"/>
  <c r="AK29" i="9"/>
  <c r="AK30" i="9"/>
  <c r="AJ47" i="9"/>
  <c r="AJ73" i="9" s="1"/>
  <c r="AJ48" i="9"/>
  <c r="AJ52" i="9" s="1"/>
  <c r="AJ38" i="9"/>
  <c r="AJ95" i="9" s="1"/>
  <c r="AI40" i="9"/>
  <c r="AI43" i="9" s="1"/>
  <c r="AI94" i="9"/>
  <c r="AI97" i="9" s="1"/>
  <c r="AI19" i="9"/>
  <c r="AJ3" i="9"/>
  <c r="AJ6" i="9" s="1"/>
  <c r="AH53" i="9"/>
  <c r="AK5" i="9"/>
  <c r="AH94" i="9"/>
  <c r="AH97" i="9" s="1"/>
  <c r="AH40" i="9"/>
  <c r="AH43" i="9" s="1"/>
  <c r="AF102" i="9"/>
  <c r="AG23" i="9"/>
  <c r="AG54" i="9"/>
  <c r="AG80" i="9" s="1"/>
  <c r="AL4" i="9"/>
  <c r="AM2" i="9"/>
  <c r="AK39" i="9" l="1"/>
  <c r="AK96" i="9" s="1"/>
  <c r="AL33" i="9"/>
  <c r="AL32" i="9"/>
  <c r="AL29" i="9"/>
  <c r="AL30" i="9"/>
  <c r="AJ46" i="9"/>
  <c r="AJ57" i="9" s="1"/>
  <c r="AJ37" i="9"/>
  <c r="AJ94" i="9" s="1"/>
  <c r="AJ97" i="9" s="1"/>
  <c r="AH23" i="9"/>
  <c r="AH54" i="9"/>
  <c r="AH80" i="9" s="1"/>
  <c r="AJ19" i="9"/>
  <c r="AK3" i="9"/>
  <c r="AK6" i="9" s="1"/>
  <c r="AI53" i="9"/>
  <c r="AL5" i="9"/>
  <c r="AM4" i="9"/>
  <c r="AN2" i="9"/>
  <c r="AG102" i="9"/>
  <c r="AK48" i="9"/>
  <c r="AK52" i="9" s="1"/>
  <c r="AJ40" i="9" l="1"/>
  <c r="AJ43" i="9" s="1"/>
  <c r="AM32" i="9"/>
  <c r="AM33" i="9"/>
  <c r="AM30" i="9"/>
  <c r="AM29" i="9"/>
  <c r="AL38" i="9"/>
  <c r="AL95" i="9" s="1"/>
  <c r="AL37" i="9"/>
  <c r="AL39" i="9"/>
  <c r="AL96" i="9" s="1"/>
  <c r="AM5" i="9"/>
  <c r="AN4" i="9"/>
  <c r="AO2" i="9"/>
  <c r="AL48" i="9"/>
  <c r="AL52" i="9" s="1"/>
  <c r="AI23" i="9"/>
  <c r="AI54" i="9"/>
  <c r="AI80" i="9" s="1"/>
  <c r="AJ53" i="9"/>
  <c r="AK47" i="9"/>
  <c r="AK73" i="9" s="1"/>
  <c r="AK46" i="9"/>
  <c r="AK57" i="9" s="1"/>
  <c r="AH102" i="9"/>
  <c r="AK19" i="9"/>
  <c r="AL3" i="9"/>
  <c r="AL6" i="9" s="1"/>
  <c r="AK38" i="9"/>
  <c r="AK95" i="9" s="1"/>
  <c r="AK37" i="9"/>
  <c r="AN33" i="9" l="1"/>
  <c r="AN32" i="9"/>
  <c r="AN30" i="9"/>
  <c r="AN29" i="9"/>
  <c r="AM47" i="9"/>
  <c r="AM73" i="9" s="1"/>
  <c r="AM46" i="9"/>
  <c r="AM57" i="9" s="1"/>
  <c r="AN5" i="9"/>
  <c r="AP2" i="9"/>
  <c r="AO4" i="9"/>
  <c r="AM39" i="9"/>
  <c r="AM96" i="9" s="1"/>
  <c r="AI102" i="9"/>
  <c r="AM48" i="9"/>
  <c r="AM52" i="9" s="1"/>
  <c r="AK53" i="9"/>
  <c r="AL47" i="9"/>
  <c r="AL73" i="9" s="1"/>
  <c r="AL46" i="9"/>
  <c r="AL57" i="9" s="1"/>
  <c r="AJ23" i="9"/>
  <c r="AJ54" i="9"/>
  <c r="AJ80" i="9" s="1"/>
  <c r="AL94" i="9"/>
  <c r="AL97" i="9" s="1"/>
  <c r="AL40" i="9"/>
  <c r="AL43" i="9" s="1"/>
  <c r="AK94" i="9"/>
  <c r="AK97" i="9" s="1"/>
  <c r="AK40" i="9"/>
  <c r="AK43" i="9" s="1"/>
  <c r="AL19" i="9"/>
  <c r="AM3" i="9"/>
  <c r="AM6" i="9" s="1"/>
  <c r="AO33" i="9" l="1"/>
  <c r="AO32" i="9"/>
  <c r="AO30" i="9"/>
  <c r="AO29" i="9"/>
  <c r="AN39" i="9"/>
  <c r="AN96" i="9" s="1"/>
  <c r="AN38" i="9"/>
  <c r="AN95" i="9" s="1"/>
  <c r="AN37" i="9"/>
  <c r="AM38" i="9"/>
  <c r="AM95" i="9" s="1"/>
  <c r="AM37" i="9"/>
  <c r="AN48" i="9"/>
  <c r="AN52" i="9" s="1"/>
  <c r="AM19" i="9"/>
  <c r="AN3" i="9"/>
  <c r="AN6" i="9" s="1"/>
  <c r="AO5" i="9"/>
  <c r="AJ102" i="9"/>
  <c r="AQ2" i="9"/>
  <c r="AQ4" i="9" s="1"/>
  <c r="AP4" i="9"/>
  <c r="AL53" i="9"/>
  <c r="AK23" i="9"/>
  <c r="AK54" i="9"/>
  <c r="AK80" i="9" s="1"/>
  <c r="AQ32" i="9" l="1"/>
  <c r="AQ33" i="9"/>
  <c r="AP32" i="9"/>
  <c r="AP33" i="9"/>
  <c r="AP29" i="9"/>
  <c r="AP30" i="9"/>
  <c r="AQ29" i="9"/>
  <c r="AQ30" i="9"/>
  <c r="AO48" i="9"/>
  <c r="AO52" i="9" s="1"/>
  <c r="AO46" i="9"/>
  <c r="AO39" i="9"/>
  <c r="AO96" i="9" s="1"/>
  <c r="H96" i="9" s="1"/>
  <c r="AO38" i="9"/>
  <c r="AO37" i="9"/>
  <c r="AP5" i="9"/>
  <c r="H39" i="9"/>
  <c r="AK102" i="9"/>
  <c r="AL23" i="9"/>
  <c r="AL54" i="9"/>
  <c r="AL80" i="9" s="1"/>
  <c r="AM53" i="9"/>
  <c r="AN47" i="9"/>
  <c r="AN73" i="9" s="1"/>
  <c r="AN46" i="9"/>
  <c r="AN57" i="9" s="1"/>
  <c r="AN40" i="9"/>
  <c r="AN43" i="9" s="1"/>
  <c r="AN94" i="9"/>
  <c r="AN97" i="9" s="1"/>
  <c r="AN19" i="9"/>
  <c r="AO3" i="9"/>
  <c r="AO6" i="9" s="1"/>
  <c r="AQ5" i="9"/>
  <c r="AM94" i="9"/>
  <c r="AM97" i="9" s="1"/>
  <c r="AM40" i="9"/>
  <c r="AM43" i="9" s="1"/>
  <c r="H48" i="9" l="1"/>
  <c r="AO47" i="9"/>
  <c r="AO73" i="9" s="1"/>
  <c r="H73" i="9" s="1"/>
  <c r="AP48" i="9"/>
  <c r="AP52" i="9" s="1"/>
  <c r="AP39" i="9"/>
  <c r="AP96" i="9" s="1"/>
  <c r="AP46" i="9"/>
  <c r="AP57" i="9" s="1"/>
  <c r="AQ39" i="9"/>
  <c r="AQ96" i="9" s="1"/>
  <c r="AQ48" i="9"/>
  <c r="AQ52" i="9" s="1"/>
  <c r="AQ38" i="9"/>
  <c r="AQ95" i="9" s="1"/>
  <c r="AQ47" i="9"/>
  <c r="AQ73" i="9" s="1"/>
  <c r="AQ46" i="9"/>
  <c r="AQ57" i="9" s="1"/>
  <c r="AP37" i="9"/>
  <c r="AP38" i="9"/>
  <c r="AP95" i="9" s="1"/>
  <c r="AQ37" i="9"/>
  <c r="AO57" i="9"/>
  <c r="H46" i="9"/>
  <c r="AO19" i="9"/>
  <c r="AP3" i="9"/>
  <c r="AP6" i="9" s="1"/>
  <c r="AM23" i="9"/>
  <c r="AM54" i="9"/>
  <c r="AM80" i="9" s="1"/>
  <c r="AN53" i="9"/>
  <c r="AO95" i="9"/>
  <c r="H95" i="9" s="1"/>
  <c r="H38" i="9"/>
  <c r="AO40" i="9"/>
  <c r="AO94" i="9"/>
  <c r="H37" i="9"/>
  <c r="AL102" i="9"/>
  <c r="H52" i="9"/>
  <c r="H47" i="9" l="1"/>
  <c r="AP47" i="9"/>
  <c r="AP73" i="9" s="1"/>
  <c r="AQ94" i="9"/>
  <c r="AQ97" i="9" s="1"/>
  <c r="AQ40" i="9"/>
  <c r="AQ43" i="9" s="1"/>
  <c r="AO97" i="9"/>
  <c r="H97" i="9" s="1"/>
  <c r="H94" i="9"/>
  <c r="AP94" i="9"/>
  <c r="AP97" i="9" s="1"/>
  <c r="AP40" i="9"/>
  <c r="AP43" i="9" s="1"/>
  <c r="AO43" i="9"/>
  <c r="E43" i="9" s="1"/>
  <c r="H43" i="9" s="1"/>
  <c r="H7" i="8" s="1"/>
  <c r="H40" i="9"/>
  <c r="AO53" i="9"/>
  <c r="F53" i="9" s="1"/>
  <c r="AP19" i="9"/>
  <c r="AQ3" i="9"/>
  <c r="AQ6" i="9" s="1"/>
  <c r="H57" i="9"/>
  <c r="AN23" i="9"/>
  <c r="AN54" i="9"/>
  <c r="AN80" i="9" s="1"/>
  <c r="AM102" i="9"/>
  <c r="AP53" i="9" l="1"/>
  <c r="H5" i="8"/>
  <c r="F43" i="9"/>
  <c r="H6" i="8" s="1"/>
  <c r="AQ19" i="9"/>
  <c r="AO23" i="9"/>
  <c r="H53" i="9"/>
  <c r="I19" i="9"/>
  <c r="AO54" i="9"/>
  <c r="AN102" i="9"/>
  <c r="I24" i="9" l="1"/>
  <c r="I58" i="9" s="1"/>
  <c r="K5" i="8"/>
  <c r="K7" i="8"/>
  <c r="K6" i="8"/>
  <c r="H19" i="9"/>
  <c r="H23" i="9"/>
  <c r="AQ53" i="9"/>
  <c r="AO80" i="9"/>
  <c r="H54" i="9"/>
  <c r="E84" i="9"/>
  <c r="H84" i="9" s="1"/>
  <c r="AP23" i="9"/>
  <c r="AP54" i="9"/>
  <c r="AP80" i="9" s="1"/>
  <c r="AP102" i="9" l="1"/>
  <c r="AO102" i="9"/>
  <c r="H102" i="9" s="1"/>
  <c r="H80" i="9"/>
  <c r="AQ23" i="9"/>
  <c r="AQ54" i="9"/>
  <c r="AQ80" i="9" s="1"/>
  <c r="I25" i="9"/>
  <c r="I20" i="9" s="1"/>
  <c r="I59" i="9" l="1"/>
  <c r="I64" i="9" s="1"/>
  <c r="AQ102" i="9"/>
  <c r="I21" i="9" l="1"/>
  <c r="J18" i="9" s="1"/>
  <c r="J24" i="9" s="1"/>
  <c r="I65" i="9"/>
  <c r="I68" i="9" s="1"/>
  <c r="I69" i="9" s="1"/>
  <c r="I66" i="9" l="1"/>
  <c r="J63" i="9" s="1"/>
  <c r="J58" i="9" l="1"/>
  <c r="J25" i="9"/>
  <c r="I74" i="9" l="1"/>
  <c r="I77" i="9" s="1"/>
  <c r="J20" i="9"/>
  <c r="J59" i="9"/>
  <c r="J64" i="9" l="1"/>
  <c r="J65" i="9"/>
  <c r="J68" i="9" s="1"/>
  <c r="I81" i="9"/>
  <c r="J21" i="9"/>
  <c r="K18" i="9" s="1"/>
  <c r="K24" i="9" s="1"/>
  <c r="I101" i="9"/>
  <c r="I75" i="9"/>
  <c r="J72" i="9" s="1"/>
  <c r="J69" i="9" l="1"/>
  <c r="I100" i="9"/>
  <c r="I82" i="9"/>
  <c r="J66" i="9"/>
  <c r="K63" i="9" s="1"/>
  <c r="I84" i="9" l="1"/>
  <c r="I103" i="9"/>
  <c r="K58" i="9"/>
  <c r="K25" i="9"/>
  <c r="J74" i="9"/>
  <c r="J101" i="9" l="1"/>
  <c r="J75" i="9"/>
  <c r="K72" i="9" s="1"/>
  <c r="K20" i="9"/>
  <c r="J77" i="9"/>
  <c r="K59" i="9"/>
  <c r="J81" i="9" l="1"/>
  <c r="K65" i="9"/>
  <c r="K68" i="9" s="1"/>
  <c r="K64" i="9"/>
  <c r="K21" i="9"/>
  <c r="L18" i="9" s="1"/>
  <c r="L24" i="9" s="1"/>
  <c r="K69" i="9" l="1"/>
  <c r="K66" i="9"/>
  <c r="L63" i="9" s="1"/>
  <c r="J100" i="9"/>
  <c r="J82" i="9"/>
  <c r="J84" i="9" l="1"/>
  <c r="J103" i="9"/>
  <c r="L58" i="9"/>
  <c r="L25" i="9"/>
  <c r="K74" i="9"/>
  <c r="K77" i="9" s="1"/>
  <c r="K81" i="9" l="1"/>
  <c r="K101" i="9"/>
  <c r="K75" i="9"/>
  <c r="L72" i="9" s="1"/>
  <c r="L20" i="9"/>
  <c r="L59" i="9"/>
  <c r="L65" i="9" l="1"/>
  <c r="L68" i="9" s="1"/>
  <c r="L64" i="9"/>
  <c r="L21" i="9"/>
  <c r="M18" i="9" s="1"/>
  <c r="M24" i="9" s="1"/>
  <c r="K100" i="9"/>
  <c r="K82" i="9"/>
  <c r="K84" i="9" l="1"/>
  <c r="K103" i="9"/>
  <c r="L66" i="9"/>
  <c r="M63" i="9" s="1"/>
  <c r="L69" i="9"/>
  <c r="L74" i="9" l="1"/>
  <c r="M58" i="9"/>
  <c r="M25" i="9"/>
  <c r="M59" i="9" l="1"/>
  <c r="M20" i="9"/>
  <c r="L101" i="9"/>
  <c r="L75" i="9"/>
  <c r="M72" i="9" s="1"/>
  <c r="L77" i="9"/>
  <c r="L81" i="9" l="1"/>
  <c r="M21" i="9"/>
  <c r="N18" i="9" s="1"/>
  <c r="N24" i="9" s="1"/>
  <c r="M65" i="9"/>
  <c r="M68" i="9" s="1"/>
  <c r="M64" i="9"/>
  <c r="M66" i="9" l="1"/>
  <c r="N63" i="9" s="1"/>
  <c r="M69" i="9"/>
  <c r="L100" i="9"/>
  <c r="L82" i="9"/>
  <c r="L84" i="9" l="1"/>
  <c r="M74" i="9"/>
  <c r="N58" i="9"/>
  <c r="N59" i="9" s="1"/>
  <c r="N25" i="9"/>
  <c r="N20" i="9" s="1"/>
  <c r="N21" i="9" s="1"/>
  <c r="O18" i="9" s="1"/>
  <c r="O24" i="9" s="1"/>
  <c r="L103" i="9"/>
  <c r="N65" i="9" l="1"/>
  <c r="N68" i="9" s="1"/>
  <c r="N69" i="9" s="1"/>
  <c r="N64" i="9"/>
  <c r="M101" i="9"/>
  <c r="M75" i="9"/>
  <c r="N72" i="9" s="1"/>
  <c r="M77" i="9"/>
  <c r="N66" i="9" l="1"/>
  <c r="O63" i="9" s="1"/>
  <c r="N74" i="9"/>
  <c r="N101" i="9" s="1"/>
  <c r="M81" i="9"/>
  <c r="O58" i="9"/>
  <c r="O59" i="9" s="1"/>
  <c r="O25" i="9"/>
  <c r="O20" i="9" s="1"/>
  <c r="O21" i="9" s="1"/>
  <c r="P18" i="9" s="1"/>
  <c r="P24" i="9" s="1"/>
  <c r="N75" i="9" l="1"/>
  <c r="O72" i="9" s="1"/>
  <c r="O65" i="9"/>
  <c r="O68" i="9" s="1"/>
  <c r="O69" i="9" s="1"/>
  <c r="O64" i="9"/>
  <c r="M100" i="9"/>
  <c r="M82" i="9"/>
  <c r="N77" i="9"/>
  <c r="N81" i="9" s="1"/>
  <c r="O66" i="9" l="1"/>
  <c r="P63" i="9" s="1"/>
  <c r="O74" i="9"/>
  <c r="N100" i="9"/>
  <c r="N103" i="9" s="1"/>
  <c r="N82" i="9"/>
  <c r="N84" i="9" s="1"/>
  <c r="M103" i="9"/>
  <c r="M84" i="9"/>
  <c r="P58" i="9"/>
  <c r="P59" i="9" s="1"/>
  <c r="P25" i="9"/>
  <c r="P20" i="9" s="1"/>
  <c r="P21" i="9" s="1"/>
  <c r="Q18" i="9" s="1"/>
  <c r="Q24" i="9" s="1"/>
  <c r="P65" i="9" l="1"/>
  <c r="P68" i="9" s="1"/>
  <c r="P69" i="9" s="1"/>
  <c r="P64" i="9"/>
  <c r="O101" i="9"/>
  <c r="O75" i="9"/>
  <c r="P72" i="9" s="1"/>
  <c r="O77" i="9"/>
  <c r="O81" i="9" s="1"/>
  <c r="P66" i="9" l="1"/>
  <c r="Q63" i="9" s="1"/>
  <c r="O100" i="9"/>
  <c r="O103" i="9" s="1"/>
  <c r="O82" i="9"/>
  <c r="O84" i="9" s="1"/>
  <c r="P74" i="9"/>
  <c r="P101" i="9" s="1"/>
  <c r="Q58" i="9"/>
  <c r="Q59" i="9" s="1"/>
  <c r="Q25" i="9"/>
  <c r="Q20" i="9" s="1"/>
  <c r="Q21" i="9" s="1"/>
  <c r="R18" i="9" s="1"/>
  <c r="R24" i="9" s="1"/>
  <c r="Q64" i="9" l="1"/>
  <c r="Q65" i="9"/>
  <c r="Q68" i="9" s="1"/>
  <c r="Q69" i="9" s="1"/>
  <c r="P77" i="9"/>
  <c r="P81" i="9" s="1"/>
  <c r="P75" i="9"/>
  <c r="Q72" i="9" s="1"/>
  <c r="Q74" i="9" l="1"/>
  <c r="Q101" i="9" s="1"/>
  <c r="R58" i="9"/>
  <c r="R59" i="9" s="1"/>
  <c r="R25" i="9"/>
  <c r="R20" i="9" s="1"/>
  <c r="R21" i="9" s="1"/>
  <c r="S18" i="9" s="1"/>
  <c r="S24" i="9" s="1"/>
  <c r="P100" i="9"/>
  <c r="P103" i="9" s="1"/>
  <c r="P82" i="9"/>
  <c r="P84" i="9" s="1"/>
  <c r="Q66" i="9"/>
  <c r="R63" i="9" s="1"/>
  <c r="Q75" i="9" l="1"/>
  <c r="R72" i="9" s="1"/>
  <c r="R65" i="9"/>
  <c r="R68" i="9" s="1"/>
  <c r="R69" i="9" s="1"/>
  <c r="R64" i="9"/>
  <c r="Q77" i="9"/>
  <c r="Q81" i="9" s="1"/>
  <c r="R66" i="9" l="1"/>
  <c r="S63" i="9" s="1"/>
  <c r="Q100" i="9"/>
  <c r="Q103" i="9" s="1"/>
  <c r="Q82" i="9"/>
  <c r="Q84" i="9" s="1"/>
  <c r="S58" i="9"/>
  <c r="S59" i="9" s="1"/>
  <c r="S25" i="9"/>
  <c r="S20" i="9" s="1"/>
  <c r="S21" i="9" s="1"/>
  <c r="T18" i="9" s="1"/>
  <c r="T24" i="9" s="1"/>
  <c r="R74" i="9"/>
  <c r="R77" i="9" s="1"/>
  <c r="R81" i="9" s="1"/>
  <c r="R100" i="9" l="1"/>
  <c r="R82" i="9"/>
  <c r="R84" i="9" s="1"/>
  <c r="R101" i="9"/>
  <c r="R75" i="9"/>
  <c r="S72" i="9" s="1"/>
  <c r="S65" i="9"/>
  <c r="S68" i="9" s="1"/>
  <c r="S69" i="9" s="1"/>
  <c r="S64" i="9"/>
  <c r="S66" i="9" l="1"/>
  <c r="T63" i="9" s="1"/>
  <c r="S74" i="9"/>
  <c r="S101" i="9" s="1"/>
  <c r="T58" i="9"/>
  <c r="T59" i="9" s="1"/>
  <c r="T25" i="9"/>
  <c r="T20" i="9" s="1"/>
  <c r="T21" i="9" s="1"/>
  <c r="U18" i="9" s="1"/>
  <c r="U24" i="9" s="1"/>
  <c r="R103" i="9"/>
  <c r="S75" i="9" l="1"/>
  <c r="T72" i="9" s="1"/>
  <c r="S77" i="9"/>
  <c r="S81" i="9" s="1"/>
  <c r="S82" i="9" s="1"/>
  <c r="S84" i="9" s="1"/>
  <c r="T65" i="9"/>
  <c r="T68" i="9" s="1"/>
  <c r="T69" i="9" s="1"/>
  <c r="T64" i="9"/>
  <c r="S100" i="9" l="1"/>
  <c r="S103" i="9" s="1"/>
  <c r="T66" i="9"/>
  <c r="U63" i="9" s="1"/>
  <c r="T74" i="9"/>
  <c r="U58" i="9"/>
  <c r="U59" i="9" s="1"/>
  <c r="U25" i="9"/>
  <c r="U20" i="9" s="1"/>
  <c r="U21" i="9" s="1"/>
  <c r="V18" i="9" s="1"/>
  <c r="V24" i="9" s="1"/>
  <c r="U64" i="9" l="1"/>
  <c r="U65" i="9"/>
  <c r="U68" i="9" s="1"/>
  <c r="U69" i="9" s="1"/>
  <c r="T101" i="9"/>
  <c r="T75" i="9"/>
  <c r="U72" i="9" s="1"/>
  <c r="T77" i="9"/>
  <c r="T81" i="9" s="1"/>
  <c r="U74" i="9" l="1"/>
  <c r="U101" i="9" s="1"/>
  <c r="T100" i="9"/>
  <c r="T103" i="9" s="1"/>
  <c r="T82" i="9"/>
  <c r="T84" i="9" s="1"/>
  <c r="U66" i="9"/>
  <c r="V63" i="9" s="1"/>
  <c r="V58" i="9"/>
  <c r="V59" i="9" s="1"/>
  <c r="V25" i="9"/>
  <c r="V20" i="9" s="1"/>
  <c r="V21" i="9" s="1"/>
  <c r="W18" i="9" s="1"/>
  <c r="W24" i="9" s="1"/>
  <c r="U75" i="9" l="1"/>
  <c r="V72" i="9" s="1"/>
  <c r="U77" i="9"/>
  <c r="U81" i="9" s="1"/>
  <c r="U100" i="9" s="1"/>
  <c r="U103" i="9" s="1"/>
  <c r="V65" i="9"/>
  <c r="V68" i="9" s="1"/>
  <c r="V69" i="9" s="1"/>
  <c r="V64" i="9"/>
  <c r="U82" i="9" l="1"/>
  <c r="U84" i="9" s="1"/>
  <c r="V66" i="9"/>
  <c r="W63" i="9" s="1"/>
  <c r="V74" i="9"/>
  <c r="V77" i="9" s="1"/>
  <c r="V81" i="9" s="1"/>
  <c r="W58" i="9"/>
  <c r="W59" i="9" s="1"/>
  <c r="W25" i="9"/>
  <c r="W20" i="9" s="1"/>
  <c r="W21" i="9" s="1"/>
  <c r="X18" i="9" s="1"/>
  <c r="X24" i="9" s="1"/>
  <c r="W64" i="9" l="1"/>
  <c r="W65" i="9"/>
  <c r="W68" i="9" s="1"/>
  <c r="W69" i="9" s="1"/>
  <c r="V100" i="9"/>
  <c r="V82" i="9"/>
  <c r="V84" i="9" s="1"/>
  <c r="V101" i="9"/>
  <c r="V75" i="9"/>
  <c r="W72" i="9" s="1"/>
  <c r="W74" i="9" l="1"/>
  <c r="W101" i="9" s="1"/>
  <c r="V103" i="9"/>
  <c r="W66" i="9"/>
  <c r="X63" i="9" s="1"/>
  <c r="X58" i="9"/>
  <c r="X59" i="9" s="1"/>
  <c r="X25" i="9"/>
  <c r="X20" i="9" s="1"/>
  <c r="X21" i="9" s="1"/>
  <c r="Y18" i="9" s="1"/>
  <c r="Y24" i="9" s="1"/>
  <c r="W75" i="9" l="1"/>
  <c r="X72" i="9" s="1"/>
  <c r="X64" i="9"/>
  <c r="X65" i="9"/>
  <c r="X68" i="9" s="1"/>
  <c r="X69" i="9" s="1"/>
  <c r="W77" i="9"/>
  <c r="W81" i="9" s="1"/>
  <c r="X66" i="9" l="1"/>
  <c r="Y63" i="9" s="1"/>
  <c r="X74" i="9"/>
  <c r="X77" i="9" s="1"/>
  <c r="X81" i="9" s="1"/>
  <c r="W100" i="9"/>
  <c r="W103" i="9" s="1"/>
  <c r="W82" i="9"/>
  <c r="W84" i="9" s="1"/>
  <c r="Y58" i="9"/>
  <c r="Y59" i="9" s="1"/>
  <c r="Y25" i="9"/>
  <c r="Y20" i="9" s="1"/>
  <c r="Y21" i="9" s="1"/>
  <c r="Z18" i="9" s="1"/>
  <c r="Z24" i="9" s="1"/>
  <c r="Y64" i="9" l="1"/>
  <c r="Y65" i="9"/>
  <c r="Y68" i="9" s="1"/>
  <c r="Y69" i="9" s="1"/>
  <c r="X100" i="9"/>
  <c r="X82" i="9"/>
  <c r="X84" i="9" s="1"/>
  <c r="X101" i="9"/>
  <c r="X75" i="9"/>
  <c r="Y72" i="9" s="1"/>
  <c r="Y74" i="9" l="1"/>
  <c r="Y101" i="9" s="1"/>
  <c r="X103" i="9"/>
  <c r="Y66" i="9"/>
  <c r="Z63" i="9" s="1"/>
  <c r="Z58" i="9"/>
  <c r="Z59" i="9" s="1"/>
  <c r="Z25" i="9"/>
  <c r="Z20" i="9" s="1"/>
  <c r="Z21" i="9" s="1"/>
  <c r="AA18" i="9" s="1"/>
  <c r="AA24" i="9" s="1"/>
  <c r="Y75" i="9" l="1"/>
  <c r="Z72" i="9" s="1"/>
  <c r="Y77" i="9"/>
  <c r="Y81" i="9" s="1"/>
  <c r="Y100" i="9" s="1"/>
  <c r="Y103" i="9" s="1"/>
  <c r="Z64" i="9"/>
  <c r="Z65" i="9"/>
  <c r="Z68" i="9" s="1"/>
  <c r="Z69" i="9" s="1"/>
  <c r="Y82" i="9" l="1"/>
  <c r="Y84" i="9" s="1"/>
  <c r="Z66" i="9"/>
  <c r="AA63" i="9" s="1"/>
  <c r="Z74" i="9"/>
  <c r="Z77" i="9" s="1"/>
  <c r="Z81" i="9" s="1"/>
  <c r="AA58" i="9"/>
  <c r="AA59" i="9" s="1"/>
  <c r="AA25" i="9"/>
  <c r="AA20" i="9" s="1"/>
  <c r="AA21" i="9" s="1"/>
  <c r="AB18" i="9" s="1"/>
  <c r="AB24" i="9" s="1"/>
  <c r="AA65" i="9" l="1"/>
  <c r="AA68" i="9" s="1"/>
  <c r="AA69" i="9" s="1"/>
  <c r="AA64" i="9"/>
  <c r="Z100" i="9"/>
  <c r="Z82" i="9"/>
  <c r="Z84" i="9" s="1"/>
  <c r="Z101" i="9"/>
  <c r="Z75" i="9"/>
  <c r="AA72" i="9" s="1"/>
  <c r="AA74" i="9" l="1"/>
  <c r="AA101" i="9" s="1"/>
  <c r="Z103" i="9"/>
  <c r="AA66" i="9"/>
  <c r="AB63" i="9" s="1"/>
  <c r="AB58" i="9"/>
  <c r="AB59" i="9" s="1"/>
  <c r="AB25" i="9"/>
  <c r="AB20" i="9" s="1"/>
  <c r="AB21" i="9" s="1"/>
  <c r="AC18" i="9" s="1"/>
  <c r="AC24" i="9" s="1"/>
  <c r="AA75" i="9" l="1"/>
  <c r="AB72" i="9" s="1"/>
  <c r="AA77" i="9"/>
  <c r="AA81" i="9" s="1"/>
  <c r="AA100" i="9" s="1"/>
  <c r="AA103" i="9" s="1"/>
  <c r="AB65" i="9"/>
  <c r="AB68" i="9" s="1"/>
  <c r="AB69" i="9" s="1"/>
  <c r="AB64" i="9"/>
  <c r="AA82" i="9"/>
  <c r="AA84" i="9" s="1"/>
  <c r="AB66" i="9" l="1"/>
  <c r="AC63" i="9" s="1"/>
  <c r="AB74" i="9"/>
  <c r="AC58" i="9"/>
  <c r="AC59" i="9" s="1"/>
  <c r="AC25" i="9"/>
  <c r="AC20" i="9" s="1"/>
  <c r="AC21" i="9" s="1"/>
  <c r="AD18" i="9" s="1"/>
  <c r="AD24" i="9" s="1"/>
  <c r="AC65" i="9" l="1"/>
  <c r="AC68" i="9" s="1"/>
  <c r="AC69" i="9" s="1"/>
  <c r="AC64" i="9"/>
  <c r="AB101" i="9"/>
  <c r="AB75" i="9"/>
  <c r="AC72" i="9" s="1"/>
  <c r="AB77" i="9"/>
  <c r="AB81" i="9" s="1"/>
  <c r="AC66" i="9" l="1"/>
  <c r="AD63" i="9" s="1"/>
  <c r="AB100" i="9"/>
  <c r="AB103" i="9" s="1"/>
  <c r="AB82" i="9"/>
  <c r="AB84" i="9" s="1"/>
  <c r="AC74" i="9"/>
  <c r="AC101" i="9" s="1"/>
  <c r="AD58" i="9"/>
  <c r="AD59" i="9" s="1"/>
  <c r="AD25" i="9"/>
  <c r="AD20" i="9" s="1"/>
  <c r="AD21" i="9" s="1"/>
  <c r="AE18" i="9" s="1"/>
  <c r="AE24" i="9" s="1"/>
  <c r="AD64" i="9" l="1"/>
  <c r="AD65" i="9"/>
  <c r="AD68" i="9" s="1"/>
  <c r="AD69" i="9" s="1"/>
  <c r="AC77" i="9"/>
  <c r="AC81" i="9" s="1"/>
  <c r="AC75" i="9"/>
  <c r="AD72" i="9" s="1"/>
  <c r="AD74" i="9" l="1"/>
  <c r="AD101" i="9" s="1"/>
  <c r="AE58" i="9"/>
  <c r="AE59" i="9" s="1"/>
  <c r="AE25" i="9"/>
  <c r="AE20" i="9" s="1"/>
  <c r="AE21" i="9" s="1"/>
  <c r="AF18" i="9" s="1"/>
  <c r="AF24" i="9" s="1"/>
  <c r="AC100" i="9"/>
  <c r="AC103" i="9" s="1"/>
  <c r="AC82" i="9"/>
  <c r="AC84" i="9" s="1"/>
  <c r="AD66" i="9"/>
  <c r="AE63" i="9" s="1"/>
  <c r="AD75" i="9" l="1"/>
  <c r="AE72" i="9" s="1"/>
  <c r="AE64" i="9"/>
  <c r="AE65" i="9"/>
  <c r="AE68" i="9" s="1"/>
  <c r="AE69" i="9" s="1"/>
  <c r="AD77" i="9"/>
  <c r="AD81" i="9" s="1"/>
  <c r="AE66" i="9" l="1"/>
  <c r="AF63" i="9" s="1"/>
  <c r="AE74" i="9"/>
  <c r="AD100" i="9"/>
  <c r="AD103" i="9" s="1"/>
  <c r="AD82" i="9"/>
  <c r="AD84" i="9" s="1"/>
  <c r="AF58" i="9"/>
  <c r="AF59" i="9" s="1"/>
  <c r="AF25" i="9"/>
  <c r="AF20" i="9" s="1"/>
  <c r="AF21" i="9" s="1"/>
  <c r="AG18" i="9" s="1"/>
  <c r="AG24" i="9" s="1"/>
  <c r="AF65" i="9" l="1"/>
  <c r="AF68" i="9" s="1"/>
  <c r="AF69" i="9" s="1"/>
  <c r="AF64" i="9"/>
  <c r="AE101" i="9"/>
  <c r="AE75" i="9"/>
  <c r="AF72" i="9" s="1"/>
  <c r="AE77" i="9"/>
  <c r="AE81" i="9" s="1"/>
  <c r="AF66" i="9" l="1"/>
  <c r="AG63" i="9" s="1"/>
  <c r="AE100" i="9"/>
  <c r="AE103" i="9" s="1"/>
  <c r="AE82" i="9"/>
  <c r="AE84" i="9" s="1"/>
  <c r="AF74" i="9"/>
  <c r="AF101" i="9" s="1"/>
  <c r="AG58" i="9"/>
  <c r="AG59" i="9" s="1"/>
  <c r="AG25" i="9"/>
  <c r="AG20" i="9" s="1"/>
  <c r="AG21" i="9" s="1"/>
  <c r="AH18" i="9" s="1"/>
  <c r="AH24" i="9" s="1"/>
  <c r="AG64" i="9" l="1"/>
  <c r="AG65" i="9"/>
  <c r="AG68" i="9" s="1"/>
  <c r="AG69" i="9" s="1"/>
  <c r="AF77" i="9"/>
  <c r="AF81" i="9" s="1"/>
  <c r="AF75" i="9"/>
  <c r="AG72" i="9" s="1"/>
  <c r="AG74" i="9" l="1"/>
  <c r="AG101" i="9" s="1"/>
  <c r="AF100" i="9"/>
  <c r="AF103" i="9" s="1"/>
  <c r="AF82" i="9"/>
  <c r="AF84" i="9" s="1"/>
  <c r="AG66" i="9"/>
  <c r="AH63" i="9" s="1"/>
  <c r="AH58" i="9"/>
  <c r="AH59" i="9" s="1"/>
  <c r="AH25" i="9"/>
  <c r="AH20" i="9" s="1"/>
  <c r="AH21" i="9" s="1"/>
  <c r="AI18" i="9" s="1"/>
  <c r="AI24" i="9" s="1"/>
  <c r="AG75" i="9" l="1"/>
  <c r="AH72" i="9" s="1"/>
  <c r="AG77" i="9"/>
  <c r="AG81" i="9" s="1"/>
  <c r="AG82" i="9" s="1"/>
  <c r="AG84" i="9" s="1"/>
  <c r="AH65" i="9"/>
  <c r="AH68" i="9" s="1"/>
  <c r="AH69" i="9" s="1"/>
  <c r="AH64" i="9"/>
  <c r="AG100" i="9" l="1"/>
  <c r="AG103" i="9" s="1"/>
  <c r="AH66" i="9"/>
  <c r="AI63" i="9" s="1"/>
  <c r="AH74" i="9"/>
  <c r="AI58" i="9"/>
  <c r="AI59" i="9" s="1"/>
  <c r="AI25" i="9"/>
  <c r="AI20" i="9" s="1"/>
  <c r="AI21" i="9" s="1"/>
  <c r="AJ18" i="9" s="1"/>
  <c r="AJ24" i="9" s="1"/>
  <c r="AI64" i="9" l="1"/>
  <c r="AI65" i="9"/>
  <c r="AI68" i="9" s="1"/>
  <c r="AI69" i="9" s="1"/>
  <c r="AH101" i="9"/>
  <c r="AH75" i="9"/>
  <c r="AI72" i="9" s="1"/>
  <c r="AH77" i="9"/>
  <c r="AH81" i="9" s="1"/>
  <c r="AI74" i="9" l="1"/>
  <c r="AI101" i="9" s="1"/>
  <c r="AH100" i="9"/>
  <c r="AH103" i="9" s="1"/>
  <c r="AH82" i="9"/>
  <c r="AH84" i="9" s="1"/>
  <c r="AI66" i="9"/>
  <c r="AJ63" i="9" s="1"/>
  <c r="AJ58" i="9"/>
  <c r="AJ59" i="9" s="1"/>
  <c r="AJ25" i="9"/>
  <c r="AJ20" i="9" s="1"/>
  <c r="AJ21" i="9" s="1"/>
  <c r="AK18" i="9" s="1"/>
  <c r="AK24" i="9" s="1"/>
  <c r="AI75" i="9" l="1"/>
  <c r="AJ72" i="9" s="1"/>
  <c r="AI77" i="9"/>
  <c r="AI81" i="9" s="1"/>
  <c r="AJ65" i="9"/>
  <c r="AJ68" i="9" s="1"/>
  <c r="AJ69" i="9" s="1"/>
  <c r="AJ64" i="9"/>
  <c r="AJ66" i="9" l="1"/>
  <c r="AK63" i="9" s="1"/>
  <c r="AJ74" i="9"/>
  <c r="AJ77" i="9" s="1"/>
  <c r="AJ81" i="9" s="1"/>
  <c r="AK58" i="9"/>
  <c r="AK59" i="9" s="1"/>
  <c r="AK25" i="9"/>
  <c r="AK20" i="9" s="1"/>
  <c r="AK21" i="9" s="1"/>
  <c r="AL18" i="9" s="1"/>
  <c r="AL24" i="9" s="1"/>
  <c r="AI100" i="9"/>
  <c r="AI103" i="9" s="1"/>
  <c r="AI82" i="9"/>
  <c r="AI84" i="9" s="1"/>
  <c r="AJ100" i="9" l="1"/>
  <c r="AJ82" i="9"/>
  <c r="AJ84" i="9" s="1"/>
  <c r="AK64" i="9"/>
  <c r="AK65" i="9"/>
  <c r="AK68" i="9" s="1"/>
  <c r="AK69" i="9" s="1"/>
  <c r="AJ101" i="9"/>
  <c r="AJ75" i="9"/>
  <c r="AK72" i="9" s="1"/>
  <c r="AK74" i="9" l="1"/>
  <c r="AK101" i="9" s="1"/>
  <c r="AK66" i="9"/>
  <c r="AL63" i="9" s="1"/>
  <c r="AL58" i="9"/>
  <c r="AL59" i="9" s="1"/>
  <c r="AL25" i="9"/>
  <c r="AL20" i="9" s="1"/>
  <c r="AL21" i="9" s="1"/>
  <c r="AM18" i="9" s="1"/>
  <c r="AM24" i="9" s="1"/>
  <c r="AJ103" i="9"/>
  <c r="AK75" i="9" l="1"/>
  <c r="AL72" i="9" s="1"/>
  <c r="AK77" i="9"/>
  <c r="AK81" i="9" s="1"/>
  <c r="AK100" i="9" s="1"/>
  <c r="AK103" i="9" s="1"/>
  <c r="AL65" i="9"/>
  <c r="AL68" i="9" s="1"/>
  <c r="AL69" i="9" s="1"/>
  <c r="AL64" i="9"/>
  <c r="AK82" i="9" l="1"/>
  <c r="AK84" i="9" s="1"/>
  <c r="AL66" i="9"/>
  <c r="AM63" i="9" s="1"/>
  <c r="AL74" i="9"/>
  <c r="AL77" i="9" s="1"/>
  <c r="AL81" i="9" s="1"/>
  <c r="AM58" i="9"/>
  <c r="AM59" i="9" s="1"/>
  <c r="AM25" i="9"/>
  <c r="AM20" i="9" s="1"/>
  <c r="AM21" i="9" s="1"/>
  <c r="AN18" i="9" s="1"/>
  <c r="AN24" i="9" s="1"/>
  <c r="AM64" i="9" l="1"/>
  <c r="AM65" i="9"/>
  <c r="AM68" i="9" s="1"/>
  <c r="AM69" i="9" s="1"/>
  <c r="AL100" i="9"/>
  <c r="AL82" i="9"/>
  <c r="AL84" i="9" s="1"/>
  <c r="AL101" i="9"/>
  <c r="AL75" i="9"/>
  <c r="AM72" i="9" s="1"/>
  <c r="AL103" i="9" l="1"/>
  <c r="AM74" i="9"/>
  <c r="AM101" i="9" s="1"/>
  <c r="AM66" i="9"/>
  <c r="AN63" i="9" s="1"/>
  <c r="AN58" i="9"/>
  <c r="AN59" i="9" s="1"/>
  <c r="AN25" i="9"/>
  <c r="AN20" i="9" s="1"/>
  <c r="AN21" i="9" s="1"/>
  <c r="AO18" i="9" s="1"/>
  <c r="AO24" i="9" s="1"/>
  <c r="AM75" i="9" l="1"/>
  <c r="AN72" i="9" s="1"/>
  <c r="AN65" i="9"/>
  <c r="AN68" i="9" s="1"/>
  <c r="AN69" i="9" s="1"/>
  <c r="AN64" i="9"/>
  <c r="AM77" i="9"/>
  <c r="AM81" i="9" s="1"/>
  <c r="AN66" i="9" l="1"/>
  <c r="AO63" i="9" s="1"/>
  <c r="AM100" i="9"/>
  <c r="AM103" i="9" s="1"/>
  <c r="AM82" i="9"/>
  <c r="AM84" i="9" s="1"/>
  <c r="AO58" i="9"/>
  <c r="AO25" i="9"/>
  <c r="H24" i="9"/>
  <c r="AN74" i="9"/>
  <c r="AN77" i="9" s="1"/>
  <c r="AN81" i="9" s="1"/>
  <c r="AN100" i="9" l="1"/>
  <c r="AN82" i="9"/>
  <c r="AN84" i="9" s="1"/>
  <c r="AN101" i="9"/>
  <c r="AN75" i="9"/>
  <c r="AO72" i="9" s="1"/>
  <c r="H25" i="9"/>
  <c r="AO20" i="9"/>
  <c r="AO59" i="9"/>
  <c r="H58" i="9"/>
  <c r="AO65" i="9" l="1"/>
  <c r="H65" i="9" s="1"/>
  <c r="AO64" i="9"/>
  <c r="H59" i="9"/>
  <c r="H20" i="9"/>
  <c r="AO21" i="9"/>
  <c r="AP18" i="9" s="1"/>
  <c r="AP24" i="9" s="1"/>
  <c r="AN103" i="9"/>
  <c r="H64" i="9" l="1"/>
  <c r="AO66" i="9"/>
  <c r="AP63" i="9" s="1"/>
  <c r="AO68" i="9"/>
  <c r="AO69" i="9" l="1"/>
  <c r="H68" i="9"/>
  <c r="AP58" i="9"/>
  <c r="AP59" i="9" s="1"/>
  <c r="AP25" i="9"/>
  <c r="AP20" i="9" s="1"/>
  <c r="AP21" i="9" s="1"/>
  <c r="AQ18" i="9" s="1"/>
  <c r="AQ24" i="9" s="1"/>
  <c r="AP65" i="9" l="1"/>
  <c r="AP68" i="9" s="1"/>
  <c r="AP69" i="9" s="1"/>
  <c r="AP64" i="9"/>
  <c r="AO74" i="9"/>
  <c r="AO77" i="9" s="1"/>
  <c r="H69" i="9"/>
  <c r="AP66" i="9" l="1"/>
  <c r="AQ63" i="9" s="1"/>
  <c r="AP74" i="9"/>
  <c r="AP101" i="9" s="1"/>
  <c r="AO81" i="9"/>
  <c r="H77" i="9"/>
  <c r="AO101" i="9"/>
  <c r="H101" i="9" s="1"/>
  <c r="H74" i="9"/>
  <c r="AO75" i="9"/>
  <c r="AP72" i="9" s="1"/>
  <c r="AQ58" i="9"/>
  <c r="AQ59" i="9" s="1"/>
  <c r="AQ25" i="9"/>
  <c r="AQ20" i="9" s="1"/>
  <c r="AQ21" i="9" s="1"/>
  <c r="AP75" i="9" l="1"/>
  <c r="AQ72" i="9" s="1"/>
  <c r="AQ65" i="9"/>
  <c r="AQ68" i="9" s="1"/>
  <c r="AQ69" i="9" s="1"/>
  <c r="AQ64" i="9"/>
  <c r="AO100" i="9"/>
  <c r="AO82" i="9"/>
  <c r="H81" i="9"/>
  <c r="AP77" i="9"/>
  <c r="AP81" i="9" s="1"/>
  <c r="AQ66" i="9" l="1"/>
  <c r="AQ74" i="9"/>
  <c r="AQ77" i="9" s="1"/>
  <c r="AQ81" i="9" s="1"/>
  <c r="AO84" i="9"/>
  <c r="F84" i="9" s="1"/>
  <c r="H82" i="9"/>
  <c r="AP100" i="9"/>
  <c r="AP103" i="9" s="1"/>
  <c r="AP82" i="9"/>
  <c r="AP84" i="9" s="1"/>
  <c r="AO103" i="9"/>
  <c r="H103" i="9" s="1"/>
  <c r="H100" i="9"/>
  <c r="AQ100" i="9" l="1"/>
  <c r="AQ82" i="9"/>
  <c r="AQ84" i="9" s="1"/>
  <c r="AQ101" i="9"/>
  <c r="AQ75" i="9"/>
  <c r="AQ103" i="9" l="1"/>
</calcChain>
</file>

<file path=xl/sharedStrings.xml><?xml version="1.0" encoding="utf-8"?>
<sst xmlns="http://schemas.openxmlformats.org/spreadsheetml/2006/main" count="184" uniqueCount="104">
  <si>
    <t>Name</t>
  </si>
  <si>
    <t>Case 1</t>
  </si>
  <si>
    <t>Case 2</t>
  </si>
  <si>
    <t>Case 3</t>
  </si>
  <si>
    <t>NPV</t>
  </si>
  <si>
    <t>IRR</t>
  </si>
  <si>
    <t>Flip Year</t>
  </si>
  <si>
    <t>yrs</t>
  </si>
  <si>
    <t>CapEx</t>
  </si>
  <si>
    <t>Tax Equity</t>
  </si>
  <si>
    <t>Pre-flip TE Tax Benefit</t>
  </si>
  <si>
    <t>Post-flip TE Tax Benefit</t>
  </si>
  <si>
    <t>Pre-flip TE Cash Benefit</t>
  </si>
  <si>
    <t>Post-flip TE Cash Benefit</t>
  </si>
  <si>
    <t>%</t>
  </si>
  <si>
    <t>Total</t>
  </si>
  <si>
    <t>Financing</t>
  </si>
  <si>
    <t>Interest Rate</t>
  </si>
  <si>
    <t>Pre-flip Flag</t>
  </si>
  <si>
    <t>Post-flip Flag</t>
  </si>
  <si>
    <t>EBITDA</t>
  </si>
  <si>
    <t>EBT</t>
  </si>
  <si>
    <t>Pre-flip</t>
  </si>
  <si>
    <t>Post-flip</t>
  </si>
  <si>
    <t>Tax Rate</t>
  </si>
  <si>
    <t>DSCR</t>
  </si>
  <si>
    <t>Tax payable calculations</t>
  </si>
  <si>
    <t>NOL closing balance</t>
  </si>
  <si>
    <t>Debt account</t>
  </si>
  <si>
    <t>Term loan closing balance</t>
  </si>
  <si>
    <t>Interest payments</t>
  </si>
  <si>
    <t xml:space="preserve"> </t>
  </si>
  <si>
    <t>Pre-flip Equity Tax Benefit</t>
  </si>
  <si>
    <t>Post-flip Equity Tax Benefit</t>
  </si>
  <si>
    <t>Pre-flip Equity Cash Benefit</t>
  </si>
  <si>
    <t>Post-flip Equity Cash Benefit</t>
  </si>
  <si>
    <t>Allocation</t>
  </si>
  <si>
    <t>Depreciation</t>
  </si>
  <si>
    <t>EBIT</t>
  </si>
  <si>
    <t>Tax Credits</t>
  </si>
  <si>
    <t>Tax Benefit</t>
  </si>
  <si>
    <t>Tax benefits to TE Investor</t>
  </si>
  <si>
    <t>Cash benefits to TE Investor</t>
  </si>
  <si>
    <t>Tax benefits to Equity</t>
  </si>
  <si>
    <t>Cash benefits to Equity</t>
  </si>
  <si>
    <t>Flip Allocations</t>
  </si>
  <si>
    <t>TE Benefits</t>
  </si>
  <si>
    <t>Tax Credit Benefit</t>
  </si>
  <si>
    <t>Cash Flow Benefit</t>
  </si>
  <si>
    <t>TE Investment</t>
  </si>
  <si>
    <t>Partnership EBIT</t>
  </si>
  <si>
    <t>Partnership Tax Credits</t>
  </si>
  <si>
    <t>Partnership Cash</t>
  </si>
  <si>
    <t>Equity Benefits</t>
  </si>
  <si>
    <t>TE Cashflows for Investment Sizing</t>
  </si>
  <si>
    <t>Partnership Benefits</t>
  </si>
  <si>
    <t>Debt Tenor</t>
  </si>
  <si>
    <t>Debt Term Flag</t>
  </si>
  <si>
    <t>DSCR Required</t>
  </si>
  <si>
    <t>Cash for Debt Service</t>
  </si>
  <si>
    <t>Debt Service (P+I)</t>
  </si>
  <si>
    <t>Principal</t>
  </si>
  <si>
    <t>Adj. EBIT</t>
  </si>
  <si>
    <t>EBIT to Equity</t>
  </si>
  <si>
    <t>Debt:Equity Cash Split</t>
  </si>
  <si>
    <t>Equity Cash Remaining</t>
  </si>
  <si>
    <t>Interest</t>
  </si>
  <si>
    <t>Net Operating Loss (NOL) account</t>
  </si>
  <si>
    <t>NOL Opening Balance</t>
  </si>
  <si>
    <t>NOLs</t>
  </si>
  <si>
    <t>NOL Max</t>
  </si>
  <si>
    <t>NOLS Max</t>
  </si>
  <si>
    <t>Taxable Income</t>
  </si>
  <si>
    <t xml:space="preserve">Tax Payable </t>
  </si>
  <si>
    <t>Tax Credit Account</t>
  </si>
  <si>
    <t>Tax Credit Opening Balance</t>
  </si>
  <si>
    <t>Tax Credits Utilized</t>
  </si>
  <si>
    <t>Tax Credits Produced</t>
  </si>
  <si>
    <t>Tax Credit Closing Balance</t>
  </si>
  <si>
    <t>Tax Payable (less credits)</t>
  </si>
  <si>
    <t>Cash Equity Partner Returns</t>
  </si>
  <si>
    <t>Cash to Equity</t>
  </si>
  <si>
    <t>Tax Payable</t>
  </si>
  <si>
    <t>Total Cashflows</t>
  </si>
  <si>
    <t>Equity Investment</t>
  </si>
  <si>
    <t>Equity Cashflows for Investment Sizing</t>
  </si>
  <si>
    <t>Roll-up</t>
  </si>
  <si>
    <t>Debt</t>
  </si>
  <si>
    <t>Project Cashflows</t>
  </si>
  <si>
    <t>Term Loan Opening Balance</t>
  </si>
  <si>
    <t>Principal Repayments</t>
  </si>
  <si>
    <t>Loan Drawdown (BoP)</t>
  </si>
  <si>
    <t>Debt Service</t>
  </si>
  <si>
    <t>Operating Year</t>
  </si>
  <si>
    <t>5yr MACRS</t>
  </si>
  <si>
    <t>Project Inputs</t>
  </si>
  <si>
    <t>COD Year</t>
  </si>
  <si>
    <t>Total Partnership Benefits</t>
  </si>
  <si>
    <t>$MM</t>
  </si>
  <si>
    <t>yr</t>
  </si>
  <si>
    <t>mult.</t>
  </si>
  <si>
    <t>Reqired TE Rate of Return</t>
  </si>
  <si>
    <t>Cash Benefits</t>
  </si>
  <si>
    <t>Case Toggle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</si>
</sst>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0%_);_(* \(#,##0.00%\);_(* &quot;-&quot;??_);_(@_)"/>
    <numFmt numFmtId="166" formatCode="0.0%"/>
    <numFmt numFmtId="167" formatCode="#,##0_-;\ \(#,##0\);_-* &quot;-&quot;??;_-@_-"/>
    <numFmt numFmtId="169" formatCode="_(* #,##0.000000000000000000_);_(* \(#,##0.000000000000000000\);_(* &quot;-&quot;??_);_(@_)"/>
    <numFmt numFmtId="170" formatCode="&quot;Warning&quot;;&quot;Warning&quot;;&quot;OK&quot;"/>
    <numFmt numFmtId="173" formatCode="_(* #,##0.0\x;_(* \(#,##0.0\)\x;_(* &quot;   -&quot;?_)"/>
    <numFmt numFmtId="175" formatCode="0.00\x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6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rgb="FFF2F2F2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4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5"/>
      <color rgb="FF236194"/>
      <name val="Calibri"/>
      <family val="2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theme="0"/>
      <name val="Calibri"/>
      <family val="2"/>
      <scheme val="minor"/>
    </font>
    <font>
      <sz val="10"/>
      <color rgb="FF23619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</font>
    <font>
      <sz val="10"/>
      <color indexed="23"/>
      <name val="Arial"/>
      <family val="2"/>
    </font>
    <font>
      <sz val="10"/>
      <color theme="1"/>
      <name val="Calibri"/>
      <family val="2"/>
    </font>
    <font>
      <b/>
      <i/>
      <sz val="11"/>
      <name val="Calibri"/>
      <family val="2"/>
      <scheme val="minor"/>
    </font>
    <font>
      <b/>
      <sz val="14"/>
      <color rgb="FF002060"/>
      <name val="Calibri"/>
      <family val="2"/>
    </font>
    <font>
      <b/>
      <sz val="14"/>
      <color rgb="FF236194"/>
      <name val="Calibri"/>
      <family val="2"/>
    </font>
    <font>
      <b/>
      <sz val="14"/>
      <color theme="6"/>
      <name val="Calibri"/>
      <family val="2"/>
    </font>
    <font>
      <sz val="14"/>
      <color theme="1"/>
      <name val="Calibri"/>
      <family val="2"/>
      <scheme val="minor"/>
    </font>
    <font>
      <sz val="11"/>
      <color rgb="FF008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3619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7C9C9"/>
        <bgColor indexed="64"/>
      </patternFill>
    </fill>
    <fill>
      <patternFill patternType="lightDown">
        <fgColor theme="0" tint="-0.14996795556505021"/>
        <bgColor indexed="65"/>
      </patternFill>
    </fill>
    <fill>
      <patternFill patternType="lightGray"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7B868C"/>
      </bottom>
      <diagonal/>
    </border>
    <border>
      <left/>
      <right/>
      <top/>
      <bottom style="medium">
        <color rgb="FF35BD9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9" fillId="0" borderId="0" applyFill="0" applyBorder="0" applyAlignment="0" applyProtection="0"/>
    <xf numFmtId="0" fontId="12" fillId="4" borderId="4">
      <alignment horizontal="left" indent="1"/>
    </xf>
    <xf numFmtId="0" fontId="9" fillId="0" borderId="0"/>
    <xf numFmtId="0" fontId="15" fillId="6" borderId="5" applyNumberFormat="0">
      <alignment horizontal="left" vertical="center" indent="1"/>
    </xf>
    <xf numFmtId="0" fontId="18" fillId="0" borderId="0" applyNumberFormat="0" applyFill="0" applyBorder="0" applyProtection="0"/>
    <xf numFmtId="0" fontId="20" fillId="9" borderId="6" applyNumberFormat="0"/>
    <xf numFmtId="0" fontId="21" fillId="0" borderId="0" applyNumberFormat="0" applyProtection="0"/>
    <xf numFmtId="43" fontId="23" fillId="0" borderId="7" applyFill="0" applyBorder="0" applyAlignment="0" applyProtection="0"/>
    <xf numFmtId="0" fontId="25" fillId="0" borderId="8" applyNumberFormat="0" applyFont="0" applyFill="0" applyAlignment="0" applyProtection="0"/>
    <xf numFmtId="0" fontId="28" fillId="4" borderId="7" applyNumberFormat="0" applyProtection="0">
      <alignment horizontal="center" vertical="center"/>
    </xf>
    <xf numFmtId="0" fontId="29" fillId="12" borderId="9" applyNumberFormat="0" applyAlignment="0">
      <alignment horizontal="right"/>
      <protection locked="0"/>
    </xf>
    <xf numFmtId="0" fontId="23" fillId="13" borderId="7" applyNumberFormat="0" applyFont="0" applyAlignment="0"/>
    <xf numFmtId="0" fontId="31" fillId="0" borderId="10" applyNumberFormat="0" applyFont="0" applyFill="0" applyAlignment="0"/>
    <xf numFmtId="0" fontId="9" fillId="14" borderId="9" applyNumberFormat="0" applyFont="0">
      <protection locked="0"/>
    </xf>
    <xf numFmtId="0" fontId="32" fillId="0" borderId="0" applyNumberFormat="0" applyFill="0" applyBorder="0" applyAlignment="0"/>
    <xf numFmtId="167" fontId="33" fillId="15" borderId="11"/>
    <xf numFmtId="0" fontId="26" fillId="0" borderId="0" applyNumberFormat="0" applyFill="0"/>
    <xf numFmtId="170" fontId="34" fillId="0" borderId="12">
      <alignment horizontal="center"/>
    </xf>
    <xf numFmtId="0" fontId="31" fillId="0" borderId="13" applyNumberFormat="0" applyFont="0" applyFill="0" applyAlignment="0"/>
    <xf numFmtId="0" fontId="23" fillId="16" borderId="7" applyNumberFormat="0"/>
  </cellStyleXfs>
  <cellXfs count="139">
    <xf numFmtId="0" fontId="0" fillId="0" borderId="0" xfId="0"/>
    <xf numFmtId="0" fontId="1" fillId="0" borderId="0" xfId="3" applyFont="1"/>
    <xf numFmtId="0" fontId="2" fillId="0" borderId="0" xfId="3" applyFont="1"/>
    <xf numFmtId="0" fontId="4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164" fontId="7" fillId="2" borderId="2" xfId="4" applyNumberFormat="1" applyFont="1" applyFill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0" fontId="2" fillId="0" borderId="0" xfId="3" applyNumberFormat="1" applyFont="1"/>
    <xf numFmtId="10" fontId="1" fillId="0" borderId="0" xfId="3" applyNumberFormat="1" applyFont="1"/>
    <xf numFmtId="10" fontId="4" fillId="0" borderId="0" xfId="3" applyNumberFormat="1" applyFont="1" applyAlignment="1">
      <alignment horizontal="center"/>
    </xf>
    <xf numFmtId="10" fontId="7" fillId="2" borderId="2" xfId="5" applyNumberFormat="1" applyFont="1" applyFill="1" applyBorder="1" applyAlignment="1">
      <alignment horizontal="center"/>
    </xf>
    <xf numFmtId="10" fontId="6" fillId="0" borderId="0" xfId="5" applyNumberFormat="1" applyFont="1" applyAlignment="1">
      <alignment horizontal="center"/>
    </xf>
    <xf numFmtId="10" fontId="6" fillId="0" borderId="0" xfId="3" applyNumberFormat="1" applyFont="1" applyAlignment="1">
      <alignment horizontal="center"/>
    </xf>
    <xf numFmtId="0" fontId="5" fillId="3" borderId="2" xfId="3" applyFont="1" applyFill="1" applyBorder="1" applyAlignment="1">
      <alignment horizontal="center"/>
    </xf>
    <xf numFmtId="0" fontId="8" fillId="0" borderId="0" xfId="3" applyFont="1" applyAlignment="1">
      <alignment vertical="center"/>
    </xf>
    <xf numFmtId="0" fontId="1" fillId="0" borderId="2" xfId="3" applyFont="1" applyBorder="1" applyAlignment="1">
      <alignment horizontal="center"/>
    </xf>
    <xf numFmtId="1" fontId="6" fillId="0" borderId="2" xfId="3" applyNumberFormat="1" applyFont="1" applyBorder="1" applyAlignment="1">
      <alignment horizontal="center"/>
    </xf>
    <xf numFmtId="164" fontId="6" fillId="0" borderId="2" xfId="3" applyNumberFormat="1" applyFont="1" applyBorder="1" applyAlignment="1">
      <alignment horizontal="center"/>
    </xf>
    <xf numFmtId="164" fontId="5" fillId="0" borderId="0" xfId="3" applyNumberFormat="1" applyFont="1" applyAlignment="1">
      <alignment horizontal="center"/>
    </xf>
    <xf numFmtId="165" fontId="1" fillId="0" borderId="2" xfId="6" applyFont="1" applyBorder="1" applyAlignment="1">
      <alignment horizontal="center"/>
    </xf>
    <xf numFmtId="165" fontId="1" fillId="0" borderId="0" xfId="6" applyFont="1"/>
    <xf numFmtId="10" fontId="1" fillId="0" borderId="0" xfId="6" applyNumberFormat="1" applyFont="1" applyAlignment="1">
      <alignment horizontal="center"/>
    </xf>
    <xf numFmtId="165" fontId="1" fillId="0" borderId="0" xfId="6" applyFont="1" applyAlignment="1">
      <alignment horizontal="center"/>
    </xf>
    <xf numFmtId="0" fontId="6" fillId="0" borderId="2" xfId="3" applyFont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5" fillId="0" borderId="0" xfId="3" applyNumberFormat="1" applyFont="1" applyAlignment="1">
      <alignment horizontal="center"/>
    </xf>
    <xf numFmtId="1" fontId="1" fillId="0" borderId="0" xfId="3" applyNumberFormat="1" applyFont="1"/>
    <xf numFmtId="1" fontId="5" fillId="0" borderId="0" xfId="3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0" fontId="0" fillId="0" borderId="0" xfId="3" applyFont="1"/>
    <xf numFmtId="10" fontId="5" fillId="0" borderId="0" xfId="6" applyNumberFormat="1" applyFont="1" applyAlignment="1">
      <alignment horizontal="center"/>
    </xf>
    <xf numFmtId="9" fontId="1" fillId="0" borderId="2" xfId="2" applyFont="1" applyBorder="1" applyAlignment="1">
      <alignment horizontal="center"/>
    </xf>
    <xf numFmtId="175" fontId="6" fillId="0" borderId="2" xfId="3" applyNumberFormat="1" applyFont="1" applyBorder="1" applyAlignment="1">
      <alignment horizontal="center"/>
    </xf>
    <xf numFmtId="0" fontId="13" fillId="5" borderId="0" xfId="7" applyFont="1" applyFill="1" applyBorder="1" applyProtection="1">
      <alignment horizontal="left" indent="1"/>
    </xf>
    <xf numFmtId="165" fontId="14" fillId="5" borderId="0" xfId="6" applyFont="1" applyFill="1" applyBorder="1" applyAlignment="1" applyProtection="1">
      <alignment horizontal="center"/>
    </xf>
    <xf numFmtId="0" fontId="1" fillId="5" borderId="0" xfId="8" applyFont="1" applyFill="1" applyProtection="1"/>
    <xf numFmtId="0" fontId="16" fillId="7" borderId="0" xfId="9" applyFont="1" applyFill="1" applyBorder="1" applyAlignment="1" applyProtection="1">
      <alignment horizontal="center" vertical="center"/>
    </xf>
    <xf numFmtId="0" fontId="3" fillId="7" borderId="0" xfId="8" applyFont="1" applyFill="1" applyBorder="1" applyAlignment="1" applyProtection="1">
      <alignment horizontal="center"/>
    </xf>
    <xf numFmtId="0" fontId="17" fillId="8" borderId="0" xfId="8" applyFont="1" applyFill="1" applyProtection="1"/>
    <xf numFmtId="0" fontId="4" fillId="8" borderId="0" xfId="10" applyFont="1" applyFill="1" applyAlignment="1" applyProtection="1">
      <alignment horizontal="center"/>
    </xf>
    <xf numFmtId="0" fontId="17" fillId="8" borderId="0" xfId="8" applyFont="1" applyFill="1" applyAlignment="1" applyProtection="1">
      <alignment horizontal="center"/>
    </xf>
    <xf numFmtId="0" fontId="1" fillId="8" borderId="0" xfId="8" applyFont="1" applyFill="1" applyProtection="1"/>
    <xf numFmtId="0" fontId="1" fillId="0" borderId="0" xfId="8" applyFont="1" applyProtection="1"/>
    <xf numFmtId="0" fontId="19" fillId="0" borderId="0" xfId="8" applyFont="1" applyAlignment="1" applyProtection="1">
      <alignment horizontal="center"/>
    </xf>
    <xf numFmtId="0" fontId="22" fillId="0" borderId="0" xfId="12" applyFont="1" applyProtection="1"/>
    <xf numFmtId="0" fontId="4" fillId="0" borderId="0" xfId="10" applyFont="1" applyAlignment="1" applyProtection="1">
      <alignment horizontal="center"/>
    </xf>
    <xf numFmtId="44" fontId="5" fillId="10" borderId="0" xfId="1" applyFont="1" applyFill="1" applyBorder="1" applyProtection="1"/>
    <xf numFmtId="0" fontId="0" fillId="0" borderId="0" xfId="8" applyFont="1" applyProtection="1"/>
    <xf numFmtId="43" fontId="27" fillId="0" borderId="8" xfId="14" applyNumberFormat="1" applyFont="1" applyBorder="1" applyProtection="1"/>
    <xf numFmtId="44" fontId="11" fillId="3" borderId="0" xfId="1" applyFont="1" applyFill="1" applyBorder="1" applyProtection="1"/>
    <xf numFmtId="0" fontId="22" fillId="2" borderId="7" xfId="15" applyFont="1" applyFill="1" applyBorder="1" applyProtection="1">
      <alignment horizontal="center" vertical="center"/>
    </xf>
    <xf numFmtId="9" fontId="7" fillId="3" borderId="9" xfId="16" applyNumberFormat="1" applyFont="1" applyFill="1" applyAlignment="1" applyProtection="1">
      <alignment horizontal="center"/>
    </xf>
    <xf numFmtId="165" fontId="1" fillId="0" borderId="0" xfId="6" applyFont="1" applyProtection="1"/>
    <xf numFmtId="0" fontId="0" fillId="0" borderId="0" xfId="18" applyFont="1" applyBorder="1" applyProtection="1"/>
    <xf numFmtId="43" fontId="1" fillId="0" borderId="0" xfId="8" applyNumberFormat="1" applyFont="1" applyProtection="1"/>
    <xf numFmtId="0" fontId="2" fillId="0" borderId="0" xfId="8" applyFont="1" applyProtection="1"/>
    <xf numFmtId="0" fontId="26" fillId="0" borderId="8" xfId="14" applyFont="1" applyBorder="1" applyProtection="1"/>
    <xf numFmtId="0" fontId="10" fillId="0" borderId="8" xfId="10" applyFont="1" applyBorder="1" applyAlignment="1" applyProtection="1">
      <alignment horizontal="center"/>
    </xf>
    <xf numFmtId="43" fontId="26" fillId="0" borderId="8" xfId="14" applyNumberFormat="1" applyFont="1" applyBorder="1" applyProtection="1"/>
    <xf numFmtId="0" fontId="27" fillId="0" borderId="0" xfId="14" applyFont="1" applyBorder="1" applyProtection="1"/>
    <xf numFmtId="0" fontId="4" fillId="0" borderId="0" xfId="10" applyFont="1" applyBorder="1" applyAlignment="1" applyProtection="1">
      <alignment horizontal="center"/>
    </xf>
    <xf numFmtId="43" fontId="27" fillId="0" borderId="0" xfId="14" applyNumberFormat="1" applyFont="1" applyBorder="1" applyProtection="1"/>
    <xf numFmtId="0" fontId="22" fillId="2" borderId="14" xfId="15" applyFont="1" applyFill="1" applyBorder="1" applyProtection="1">
      <alignment horizontal="center" vertical="center"/>
    </xf>
    <xf numFmtId="0" fontId="22" fillId="2" borderId="15" xfId="15" applyFont="1" applyFill="1" applyBorder="1" applyProtection="1">
      <alignment horizontal="center" vertical="center"/>
    </xf>
    <xf numFmtId="0" fontId="2" fillId="0" borderId="0" xfId="8" applyFont="1" applyAlignment="1" applyProtection="1">
      <alignment horizontal="center"/>
    </xf>
    <xf numFmtId="8" fontId="22" fillId="3" borderId="16" xfId="13" applyNumberFormat="1" applyFont="1" applyFill="1" applyBorder="1" applyAlignment="1" applyProtection="1">
      <alignment horizontal="center"/>
    </xf>
    <xf numFmtId="166" fontId="2" fillId="3" borderId="17" xfId="19" applyNumberFormat="1" applyFont="1" applyFill="1" applyBorder="1" applyAlignment="1" applyProtection="1">
      <alignment horizontal="center"/>
    </xf>
    <xf numFmtId="175" fontId="7" fillId="3" borderId="9" xfId="16" applyNumberFormat="1" applyFont="1" applyFill="1" applyAlignment="1" applyProtection="1">
      <alignment horizontal="center"/>
    </xf>
    <xf numFmtId="8" fontId="30" fillId="3" borderId="9" xfId="13" applyNumberFormat="1" applyFont="1" applyFill="1" applyBorder="1" applyAlignment="1" applyProtection="1">
      <alignment horizontal="center"/>
    </xf>
    <xf numFmtId="0" fontId="1" fillId="0" borderId="19" xfId="8" applyFont="1" applyBorder="1" applyProtection="1"/>
    <xf numFmtId="0" fontId="26" fillId="0" borderId="0" xfId="22" applyFont="1" applyProtection="1"/>
    <xf numFmtId="43" fontId="30" fillId="0" borderId="0" xfId="13" applyFont="1" applyBorder="1" applyProtection="1"/>
    <xf numFmtId="169" fontId="30" fillId="0" borderId="0" xfId="13" applyNumberFormat="1" applyFont="1" applyBorder="1" applyProtection="1"/>
    <xf numFmtId="49" fontId="0" fillId="0" borderId="0" xfId="8" applyNumberFormat="1" applyFont="1" applyAlignment="1" applyProtection="1">
      <alignment horizontal="left" indent="1"/>
    </xf>
    <xf numFmtId="9" fontId="7" fillId="3" borderId="9" xfId="2" applyFont="1" applyFill="1" applyBorder="1" applyAlignment="1" applyProtection="1">
      <alignment horizontal="center"/>
    </xf>
    <xf numFmtId="0" fontId="0" fillId="0" borderId="0" xfId="8" applyFont="1" applyBorder="1" applyProtection="1"/>
    <xf numFmtId="43" fontId="1" fillId="0" borderId="0" xfId="8" applyNumberFormat="1" applyFont="1" applyBorder="1" applyProtection="1"/>
    <xf numFmtId="43" fontId="1" fillId="0" borderId="0" xfId="18" applyNumberFormat="1" applyFont="1" applyBorder="1" applyProtection="1"/>
    <xf numFmtId="0" fontId="27" fillId="0" borderId="8" xfId="14" quotePrefix="1" applyFont="1" applyBorder="1" applyProtection="1"/>
    <xf numFmtId="0" fontId="4" fillId="0" borderId="8" xfId="10" applyFont="1" applyBorder="1" applyAlignment="1" applyProtection="1">
      <alignment horizontal="center"/>
    </xf>
    <xf numFmtId="0" fontId="27" fillId="0" borderId="8" xfId="14" applyFont="1" applyBorder="1" applyProtection="1"/>
    <xf numFmtId="0" fontId="30" fillId="0" borderId="0" xfId="8" applyFont="1" applyProtection="1"/>
    <xf numFmtId="0" fontId="27" fillId="0" borderId="8" xfId="14" applyFont="1" applyFill="1" applyBorder="1" applyProtection="1"/>
    <xf numFmtId="43" fontId="30" fillId="0" borderId="8" xfId="13" applyFont="1" applyBorder="1" applyProtection="1"/>
    <xf numFmtId="0" fontId="0" fillId="0" borderId="0" xfId="8" applyNumberFormat="1" applyFont="1" applyAlignment="1" applyProtection="1">
      <alignment horizontal="left" indent="1"/>
    </xf>
    <xf numFmtId="43" fontId="24" fillId="11" borderId="0" xfId="13" applyFont="1" applyFill="1" applyBorder="1" applyAlignment="1" applyProtection="1">
      <alignment horizontal="center"/>
    </xf>
    <xf numFmtId="0" fontId="1" fillId="0" borderId="0" xfId="8" applyFont="1" applyAlignment="1" applyProtection="1">
      <alignment horizontal="center"/>
    </xf>
    <xf numFmtId="43" fontId="24" fillId="11" borderId="18" xfId="13" applyFont="1" applyFill="1" applyBorder="1" applyAlignment="1" applyProtection="1">
      <alignment horizontal="center"/>
    </xf>
    <xf numFmtId="43" fontId="35" fillId="11" borderId="0" xfId="13" applyFont="1" applyFill="1" applyBorder="1" applyAlignment="1" applyProtection="1">
      <alignment horizontal="center"/>
    </xf>
    <xf numFmtId="173" fontId="24" fillId="3" borderId="0" xfId="13" applyNumberFormat="1" applyFont="1" applyFill="1" applyBorder="1" applyAlignment="1" applyProtection="1">
      <alignment horizontal="center"/>
    </xf>
    <xf numFmtId="43" fontId="24" fillId="3" borderId="0" xfId="13" applyFont="1" applyFill="1" applyBorder="1" applyAlignment="1" applyProtection="1">
      <alignment horizontal="center"/>
    </xf>
    <xf numFmtId="10" fontId="1" fillId="0" borderId="0" xfId="8" applyNumberFormat="1" applyFont="1" applyAlignment="1" applyProtection="1">
      <alignment horizontal="center"/>
    </xf>
    <xf numFmtId="43" fontId="27" fillId="0" borderId="0" xfId="14" applyNumberFormat="1" applyFont="1" applyBorder="1" applyAlignment="1" applyProtection="1">
      <alignment horizontal="center"/>
    </xf>
    <xf numFmtId="0" fontId="30" fillId="0" borderId="0" xfId="8" applyFont="1" applyAlignment="1" applyProtection="1">
      <alignment horizontal="left" indent="1"/>
    </xf>
    <xf numFmtId="0" fontId="26" fillId="0" borderId="0" xfId="14" quotePrefix="1" applyFont="1" applyBorder="1" applyProtection="1"/>
    <xf numFmtId="0" fontId="4" fillId="0" borderId="0" xfId="14" applyFont="1" applyBorder="1" applyAlignment="1" applyProtection="1">
      <alignment horizontal="center"/>
    </xf>
    <xf numFmtId="9" fontId="1" fillId="0" borderId="0" xfId="14" applyNumberFormat="1" applyFont="1" applyBorder="1" applyProtection="1"/>
    <xf numFmtId="0" fontId="0" fillId="0" borderId="18" xfId="8" applyFont="1" applyBorder="1" applyProtection="1"/>
    <xf numFmtId="0" fontId="4" fillId="0" borderId="18" xfId="10" applyFont="1" applyBorder="1" applyAlignment="1" applyProtection="1">
      <alignment horizontal="center"/>
    </xf>
    <xf numFmtId="0" fontId="1" fillId="0" borderId="18" xfId="8" applyFont="1" applyBorder="1" applyProtection="1"/>
    <xf numFmtId="0" fontId="2" fillId="2" borderId="7" xfId="8" applyFont="1" applyFill="1" applyBorder="1" applyProtection="1"/>
    <xf numFmtId="10" fontId="7" fillId="0" borderId="7" xfId="8" applyNumberFormat="1" applyFont="1" applyBorder="1" applyAlignment="1" applyProtection="1">
      <alignment horizontal="center"/>
    </xf>
    <xf numFmtId="0" fontId="6" fillId="0" borderId="3" xfId="3" applyFont="1" applyBorder="1" applyAlignment="1">
      <alignment horizontal="center"/>
    </xf>
    <xf numFmtId="0" fontId="1" fillId="3" borderId="0" xfId="8" applyFont="1" applyFill="1" applyProtection="1"/>
    <xf numFmtId="0" fontId="36" fillId="3" borderId="0" xfId="11" applyFont="1" applyFill="1" applyBorder="1" applyProtection="1"/>
    <xf numFmtId="0" fontId="37" fillId="3" borderId="0" xfId="11" applyFont="1" applyFill="1" applyBorder="1" applyProtection="1"/>
    <xf numFmtId="0" fontId="38" fillId="3" borderId="0" xfId="11" applyFont="1" applyFill="1" applyBorder="1" applyAlignment="1" applyProtection="1">
      <alignment horizontal="center"/>
    </xf>
    <xf numFmtId="0" fontId="39" fillId="3" borderId="0" xfId="8" applyFont="1" applyFill="1" applyBorder="1" applyProtection="1"/>
    <xf numFmtId="0" fontId="0" fillId="0" borderId="8" xfId="24" applyFont="1" applyBorder="1" applyProtection="1"/>
    <xf numFmtId="0" fontId="4" fillId="0" borderId="8" xfId="24" applyFont="1" applyBorder="1" applyAlignment="1" applyProtection="1">
      <alignment horizontal="center"/>
    </xf>
    <xf numFmtId="0" fontId="1" fillId="0" borderId="8" xfId="24" applyFont="1" applyBorder="1" applyProtection="1"/>
    <xf numFmtId="0" fontId="1" fillId="0" borderId="8" xfId="24" applyFont="1" applyBorder="1" applyAlignment="1" applyProtection="1">
      <alignment horizontal="center"/>
    </xf>
    <xf numFmtId="43" fontId="30" fillId="0" borderId="8" xfId="24" applyNumberFormat="1" applyFont="1" applyBorder="1" applyProtection="1"/>
    <xf numFmtId="0" fontId="1" fillId="0" borderId="0" xfId="8" applyFont="1" applyBorder="1" applyProtection="1"/>
    <xf numFmtId="0" fontId="19" fillId="0" borderId="0" xfId="8" applyFont="1" applyBorder="1" applyAlignment="1" applyProtection="1">
      <alignment horizontal="center"/>
    </xf>
    <xf numFmtId="0" fontId="1" fillId="0" borderId="0" xfId="8" applyFont="1" applyBorder="1" applyAlignment="1" applyProtection="1">
      <alignment horizontal="center"/>
    </xf>
    <xf numFmtId="169" fontId="30" fillId="0" borderId="8" xfId="24" applyNumberFormat="1" applyFont="1" applyBorder="1" applyProtection="1"/>
    <xf numFmtId="0" fontId="30" fillId="0" borderId="8" xfId="8" applyFont="1" applyBorder="1" applyProtection="1"/>
    <xf numFmtId="0" fontId="0" fillId="3" borderId="0" xfId="8" applyFont="1" applyFill="1" applyProtection="1"/>
    <xf numFmtId="0" fontId="4" fillId="3" borderId="0" xfId="10" applyFont="1" applyFill="1" applyAlignment="1" applyProtection="1">
      <alignment horizontal="center"/>
    </xf>
    <xf numFmtId="44" fontId="6" fillId="3" borderId="18" xfId="1" applyFont="1" applyFill="1" applyBorder="1" applyProtection="1"/>
    <xf numFmtId="9" fontId="5" fillId="10" borderId="0" xfId="2" applyFont="1" applyFill="1" applyBorder="1" applyProtection="1"/>
    <xf numFmtId="1" fontId="40" fillId="7" borderId="0" xfId="9" applyNumberFormat="1" applyFont="1" applyFill="1" applyBorder="1" applyAlignment="1" applyProtection="1">
      <alignment horizontal="center" vertical="center"/>
    </xf>
    <xf numFmtId="0" fontId="0" fillId="0" borderId="0" xfId="18" applyFont="1" applyBorder="1" applyAlignment="1" applyProtection="1">
      <alignment horizontal="left" indent="1"/>
    </xf>
    <xf numFmtId="43" fontId="22" fillId="5" borderId="7" xfId="13" applyFont="1" applyFill="1" applyBorder="1" applyAlignment="1" applyProtection="1">
      <alignment horizontal="center"/>
    </xf>
    <xf numFmtId="164" fontId="5" fillId="10" borderId="0" xfId="3" applyNumberFormat="1" applyFont="1" applyFill="1" applyAlignment="1">
      <alignment horizontal="center"/>
    </xf>
    <xf numFmtId="0" fontId="5" fillId="10" borderId="0" xfId="3" applyFont="1" applyFill="1" applyAlignment="1">
      <alignment horizontal="center"/>
    </xf>
    <xf numFmtId="10" fontId="5" fillId="10" borderId="0" xfId="3" applyNumberFormat="1" applyFont="1" applyFill="1" applyAlignment="1">
      <alignment horizontal="center"/>
    </xf>
    <xf numFmtId="1" fontId="5" fillId="10" borderId="0" xfId="3" applyNumberFormat="1" applyFont="1" applyFill="1" applyAlignment="1">
      <alignment horizontal="center"/>
    </xf>
    <xf numFmtId="175" fontId="5" fillId="10" borderId="0" xfId="3" applyNumberFormat="1" applyFont="1" applyFill="1" applyAlignment="1">
      <alignment horizontal="center"/>
    </xf>
    <xf numFmtId="9" fontId="5" fillId="10" borderId="0" xfId="6" applyNumberFormat="1" applyFont="1" applyFill="1" applyAlignment="1">
      <alignment horizontal="center"/>
    </xf>
    <xf numFmtId="9" fontId="1" fillId="0" borderId="0" xfId="3" applyNumberFormat="1" applyFont="1" applyAlignment="1">
      <alignment horizontal="center"/>
    </xf>
    <xf numFmtId="9" fontId="5" fillId="0" borderId="0" xfId="3" applyNumberFormat="1" applyFont="1" applyAlignment="1">
      <alignment horizontal="center"/>
    </xf>
    <xf numFmtId="9" fontId="1" fillId="0" borderId="0" xfId="6" applyNumberFormat="1" applyFont="1" applyAlignment="1">
      <alignment horizontal="center"/>
    </xf>
    <xf numFmtId="9" fontId="5" fillId="0" borderId="0" xfId="6" applyNumberFormat="1" applyFont="1" applyAlignment="1">
      <alignment horizontal="center"/>
    </xf>
  </cellXfs>
  <cellStyles count="26">
    <cellStyle name="Assumption" xfId="16" xr:uid="{0E38533F-F0F8-47CE-A474-5747AA8E108A}"/>
    <cellStyle name="Blank" xfId="25" xr:uid="{01B078AD-4875-498D-ABC1-9B8E4C8D7ABA}"/>
    <cellStyle name="Check" xfId="23" xr:uid="{699D2737-FCCF-4FA3-ABB4-C8487259A5BC}"/>
    <cellStyle name="Comma 2" xfId="13" xr:uid="{5B496050-132B-4D08-A61D-1CC5D173A5E8}"/>
    <cellStyle name="Currency" xfId="1" builtinId="4"/>
    <cellStyle name="Currency 2" xfId="4" xr:uid="{AA2C0B6B-D002-4D5C-8A57-E5B83DF13F94}"/>
    <cellStyle name="Flag" xfId="21" xr:uid="{7B04841C-7D98-43B2-87C9-04228AF71FA4}"/>
    <cellStyle name="Head0" xfId="11" xr:uid="{C7833A5B-58D7-4300-BA16-B34B0060F59D}"/>
    <cellStyle name="Header1" xfId="12" xr:uid="{526AE057-6F4F-4AD0-BDE4-F930C5E35944}"/>
    <cellStyle name="Header2" xfId="22" xr:uid="{D26F3359-7158-431F-9196-F9823BC3C7F8}"/>
    <cellStyle name="Header3" xfId="20" xr:uid="{9CC404C9-2257-48F6-ACF0-F37EBAB6985A}"/>
    <cellStyle name="Line_Calc" xfId="18" xr:uid="{09E95D4C-9F2D-4925-BC90-A9BF27AA7850}"/>
    <cellStyle name="Line_ClosingBal" xfId="24" xr:uid="{A08D7E34-3F6C-457A-B5EB-63059E772021}"/>
    <cellStyle name="Line_Subtotal" xfId="14" xr:uid="{7A445C0A-B04E-4716-90E7-F80E043E602A}"/>
    <cellStyle name="Link" xfId="17" xr:uid="{2230EB02-0E54-4D6E-8FAD-4D530C2F8151}"/>
    <cellStyle name="Normal" xfId="0" builtinId="0"/>
    <cellStyle name="Normal 2" xfId="3" xr:uid="{81E9FA8C-D3B3-4327-B209-4524E5B1CDF3}"/>
    <cellStyle name="Normal 3" xfId="8" xr:uid="{45AED06D-1FEF-49D4-9C39-04C850FE2F10}"/>
    <cellStyle name="Output 2" xfId="19" xr:uid="{03ED1AED-07E9-4A3E-8155-2DBF7FC30BDA}"/>
    <cellStyle name="Percent" xfId="2" builtinId="5"/>
    <cellStyle name="Percent 2" xfId="5" xr:uid="{F4841B97-8857-438F-B968-30F480AED816}"/>
    <cellStyle name="Percent 3" xfId="6" xr:uid="{78AD59A9-87CC-48B6-A309-CAF231445B67}"/>
    <cellStyle name="SheetSub" xfId="9" xr:uid="{F1FD058E-25C2-4D14-910A-EF6932BA267C}"/>
    <cellStyle name="SheetTopCalc" xfId="7" xr:uid="{5DB4DB6E-D17F-48E2-95D2-EE412EA84558}"/>
    <cellStyle name="Table" xfId="15" xr:uid="{79E7257E-AA48-496E-8332-BC2634BF3A30}"/>
    <cellStyle name="Unit" xfId="10" xr:uid="{7BC15D1D-FEC1-4932-8386-863929E0F6EF}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rrison/Downloads/REPFMmodelS31-220912-19594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ashboard"/>
      <sheetName val="Ann"/>
      <sheetName val="FS"/>
      <sheetName val="Inputs"/>
      <sheetName val="Ops"/>
      <sheetName val="Funding"/>
      <sheetName val="T &amp; R"/>
      <sheetName val="TE"/>
      <sheetName val="L"/>
      <sheetName val="N"/>
    </sheetNames>
    <sheetDataSet>
      <sheetData sheetId="0" refreshError="1"/>
      <sheetData sheetId="1" refreshError="1"/>
      <sheetData sheetId="2"/>
      <sheetData sheetId="3" refreshError="1"/>
      <sheetData sheetId="4">
        <row r="169">
          <cell r="C169" t="str">
            <v>Base case</v>
          </cell>
        </row>
        <row r="170">
          <cell r="C170" t="str">
            <v>High case</v>
          </cell>
        </row>
        <row r="171">
          <cell r="C171" t="str">
            <v>Low case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F7" t="str">
            <v>Renewable Energy PF training model</v>
          </cell>
        </row>
        <row r="11">
          <cell r="F11">
            <v>12</v>
          </cell>
        </row>
        <row r="13">
          <cell r="F13">
            <v>4</v>
          </cell>
        </row>
        <row r="14">
          <cell r="F14">
            <v>3</v>
          </cell>
        </row>
        <row r="15">
          <cell r="F15">
            <v>8760</v>
          </cell>
        </row>
        <row r="18">
          <cell r="F18">
            <v>1000000</v>
          </cell>
        </row>
        <row r="19">
          <cell r="F19">
            <v>9.9999999999999995E-8</v>
          </cell>
        </row>
        <row r="20">
          <cell r="F20">
            <v>5</v>
          </cell>
        </row>
        <row r="23">
          <cell r="F23" t="str">
            <v>$ M</v>
          </cell>
        </row>
        <row r="27">
          <cell r="C27" t="str">
            <v>P50</v>
          </cell>
        </row>
        <row r="28">
          <cell r="C28" t="str">
            <v>P75</v>
          </cell>
        </row>
        <row r="29">
          <cell r="C29" t="str">
            <v>P99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7C34-2F5B-4754-A102-F8482A819D8E}">
  <dimension ref="A1"/>
  <sheetViews>
    <sheetView topLeftCell="A1048576" workbookViewId="0">
      <selection sqref="A1:XFD1048576"/>
    </sheetView>
  </sheetViews>
  <sheetFormatPr defaultRowHeight="14.4" zeroHeight="1" x14ac:dyDescent="0.3"/>
  <sheetData>
    <row r="1" hidden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3576-CF6C-4A8E-89AC-4D68747F0D14}">
  <sheetPr>
    <tabColor rgb="FF002060"/>
  </sheetPr>
  <dimension ref="A1:AG97"/>
  <sheetViews>
    <sheetView showGridLines="0" zoomScale="80" zoomScaleNormal="80" workbookViewId="0">
      <selection activeCell="R21" sqref="R21"/>
    </sheetView>
  </sheetViews>
  <sheetFormatPr defaultColWidth="0" defaultRowHeight="14.4" zeroHeight="1" x14ac:dyDescent="0.3"/>
  <cols>
    <col min="1" max="1" width="5" style="1" customWidth="1"/>
    <col min="2" max="2" width="2.21875" style="2" customWidth="1"/>
    <col min="3" max="3" width="25.88671875" style="1" customWidth="1"/>
    <col min="4" max="4" width="8.88671875" style="1" customWidth="1"/>
    <col min="5" max="5" width="8.88671875" style="3" customWidth="1"/>
    <col min="6" max="6" width="10.77734375" style="1" customWidth="1"/>
    <col min="7" max="7" width="3.44140625" style="1" customWidth="1"/>
    <col min="8" max="8" width="15.109375" style="4" customWidth="1"/>
    <col min="9" max="10" width="2.21875" style="1" customWidth="1"/>
    <col min="11" max="11" width="17.21875" style="4" customWidth="1"/>
    <col min="12" max="12" width="2.88671875" style="4" customWidth="1"/>
    <col min="13" max="13" width="15" style="4" customWidth="1"/>
    <col min="14" max="14" width="2.88671875" style="4" customWidth="1"/>
    <col min="15" max="15" width="14.6640625" style="4" customWidth="1"/>
    <col min="16" max="16" width="2.88671875" style="4" customWidth="1"/>
    <col min="17" max="17" width="11.77734375" style="4" customWidth="1"/>
    <col min="18" max="18" width="2.88671875" style="4" customWidth="1"/>
    <col min="19" max="19" width="11.77734375" style="4" customWidth="1"/>
    <col min="20" max="20" width="2.88671875" style="4" customWidth="1"/>
    <col min="21" max="21" width="11.77734375" style="4" customWidth="1"/>
    <col min="22" max="22" width="2.88671875" style="4" customWidth="1"/>
    <col min="23" max="23" width="11.77734375" style="4" customWidth="1"/>
    <col min="24" max="24" width="2.88671875" style="4" customWidth="1"/>
    <col min="25" max="25" width="11.77734375" style="4" customWidth="1"/>
    <col min="26" max="26" width="2.88671875" style="4" customWidth="1"/>
    <col min="27" max="27" width="11.77734375" style="4" customWidth="1"/>
    <col min="28" max="28" width="2.88671875" style="4" customWidth="1"/>
    <col min="29" max="29" width="11.77734375" style="4" customWidth="1"/>
    <col min="30" max="30" width="2.88671875" style="4" customWidth="1"/>
    <col min="31" max="31" width="11.77734375" style="4" customWidth="1"/>
    <col min="32" max="32" width="2.88671875" style="4" customWidth="1"/>
    <col min="33" max="33" width="11.77734375" style="4" customWidth="1"/>
    <col min="34" max="34" width="8.88671875" style="1" customWidth="1"/>
    <col min="35" max="16384" width="8.88671875" style="1" hidden="1"/>
  </cols>
  <sheetData>
    <row r="1" spans="1:33" x14ac:dyDescent="0.3"/>
    <row r="2" spans="1:33" ht="15" thickBot="1" x14ac:dyDescent="0.35"/>
    <row r="3" spans="1:33" x14ac:dyDescent="0.3">
      <c r="F3" s="2" t="s">
        <v>0</v>
      </c>
      <c r="G3" s="2"/>
      <c r="H3" s="5" t="str">
        <f>+INDEX(K3:XFD3,MATCH($H$4,$K$4:$XFD$4,0))</f>
        <v>Case 1</v>
      </c>
      <c r="K3" s="6" t="s">
        <v>1</v>
      </c>
      <c r="L3" s="6"/>
      <c r="M3" s="6" t="s">
        <v>2</v>
      </c>
      <c r="N3" s="6"/>
      <c r="O3" s="6" t="s">
        <v>3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x14ac:dyDescent="0.3">
      <c r="F4" s="2" t="s">
        <v>103</v>
      </c>
      <c r="G4" s="2"/>
      <c r="H4" s="7">
        <v>0</v>
      </c>
      <c r="K4" s="8">
        <v>0</v>
      </c>
      <c r="L4" s="6"/>
      <c r="M4" s="8">
        <f>K4+1</f>
        <v>1</v>
      </c>
      <c r="N4" s="8"/>
      <c r="O4" s="8">
        <f>M4+1</f>
        <v>2</v>
      </c>
      <c r="P4" s="6"/>
      <c r="Q4" s="8">
        <f>O4+1</f>
        <v>3</v>
      </c>
      <c r="R4" s="6"/>
      <c r="S4" s="8">
        <f>Q4+1</f>
        <v>4</v>
      </c>
      <c r="T4" s="6"/>
      <c r="U4" s="8">
        <f>S4+1</f>
        <v>5</v>
      </c>
      <c r="V4" s="6"/>
      <c r="W4" s="8">
        <f>U4+1</f>
        <v>6</v>
      </c>
      <c r="X4" s="6"/>
      <c r="Y4" s="8">
        <f>W4+1</f>
        <v>7</v>
      </c>
      <c r="Z4" s="6"/>
      <c r="AA4" s="8">
        <f>Y4+1</f>
        <v>8</v>
      </c>
      <c r="AB4" s="6"/>
      <c r="AC4" s="8">
        <f>AA4+1</f>
        <v>9</v>
      </c>
      <c r="AD4" s="6"/>
      <c r="AE4" s="8">
        <f>AC4+1</f>
        <v>10</v>
      </c>
      <c r="AF4" s="6"/>
      <c r="AG4" s="8">
        <f>AE4+1</f>
        <v>11</v>
      </c>
    </row>
    <row r="5" spans="1:33" x14ac:dyDescent="0.3">
      <c r="F5" s="2" t="str">
        <f>"NPV @ "&amp;TEXT(H16,"0%")</f>
        <v>NPV @ 8%</v>
      </c>
      <c r="H5" s="9">
        <f>'TE Model'!E43</f>
        <v>38.452657499083017</v>
      </c>
      <c r="K5" s="10">
        <f>IF(K$4=$H$4,$H$5,"")</f>
        <v>38.452657499083017</v>
      </c>
      <c r="L5" s="8"/>
      <c r="M5" s="10" t="str">
        <f>IF(M$4=$H$4,$H$5,"")</f>
        <v/>
      </c>
      <c r="N5" s="8"/>
      <c r="O5" s="10" t="str">
        <f>IF(O$4=$H$4,$H$5,"")</f>
        <v/>
      </c>
      <c r="P5" s="8"/>
      <c r="Q5" s="10" t="str">
        <f>IF(Q$4=$H$4,$H$5,"")</f>
        <v/>
      </c>
      <c r="R5" s="8"/>
      <c r="S5" s="10" t="str">
        <f>IF(S$4=$H$4,$H$5,"")</f>
        <v/>
      </c>
      <c r="T5" s="8"/>
      <c r="U5" s="10" t="str">
        <f>IF(U$4=$H$4,$H$5,"")</f>
        <v/>
      </c>
      <c r="V5" s="8"/>
      <c r="W5" s="10" t="str">
        <f>IF(W$4=$H$4,$H$5,"")</f>
        <v/>
      </c>
      <c r="X5" s="8"/>
      <c r="Y5" s="10" t="str">
        <f>IF(Y$4=$H$4,$H$5,"")</f>
        <v/>
      </c>
      <c r="Z5" s="8"/>
      <c r="AA5" s="10" t="str">
        <f>IF(AA$4=$H$4,$H$5,"")</f>
        <v/>
      </c>
      <c r="AB5" s="8"/>
      <c r="AC5" s="10" t="str">
        <f>IF(AC$4=$H$4,$H$5,"")</f>
        <v/>
      </c>
      <c r="AD5" s="8"/>
      <c r="AE5" s="10" t="str">
        <f>IF(AE$4=$H$4,$H$5,"")</f>
        <v/>
      </c>
      <c r="AF5" s="8"/>
      <c r="AG5" s="10" t="str">
        <f>IF(AG$4=$H$4,$H$5,"")</f>
        <v/>
      </c>
    </row>
    <row r="6" spans="1:33" s="12" customFormat="1" ht="15.6" customHeight="1" x14ac:dyDescent="0.3">
      <c r="A6" s="11"/>
      <c r="B6" s="11"/>
      <c r="E6" s="13"/>
      <c r="F6" s="11" t="s">
        <v>5</v>
      </c>
      <c r="G6" s="11"/>
      <c r="H6" s="14">
        <f>'TE Model'!F43</f>
        <v>8.0000000000000071E-2</v>
      </c>
      <c r="K6" s="15">
        <f>IF(K$4=$H$4,$H$6,"")</f>
        <v>8.0000000000000071E-2</v>
      </c>
      <c r="L6" s="16"/>
      <c r="M6" s="15" t="str">
        <f>IF(M$4=$H$4,$H$6,"")</f>
        <v/>
      </c>
      <c r="N6" s="16"/>
      <c r="O6" s="15" t="str">
        <f>IF(O$4=$H$4,$H$6,"")</f>
        <v/>
      </c>
      <c r="P6" s="16"/>
      <c r="Q6" s="15" t="str">
        <f>IF(Q$4=$H$4,$H$6,"")</f>
        <v/>
      </c>
      <c r="R6" s="16"/>
      <c r="S6" s="15" t="str">
        <f>IF(S$4=$H$4,$H$6,"")</f>
        <v/>
      </c>
      <c r="T6" s="16"/>
      <c r="U6" s="15" t="str">
        <f>IF(U$4=$H$4,$H$6,"")</f>
        <v/>
      </c>
      <c r="V6" s="16"/>
      <c r="W6" s="15" t="str">
        <f>IF(W$4=$H$4,$H$6,"")</f>
        <v/>
      </c>
      <c r="X6" s="16"/>
      <c r="Y6" s="15" t="str">
        <f>IF(Y$4=$H$4,$H$6,"")</f>
        <v/>
      </c>
      <c r="Z6" s="16"/>
      <c r="AA6" s="15" t="str">
        <f>IF(AA$4=$H$4,$H$6,"")</f>
        <v/>
      </c>
      <c r="AB6" s="16"/>
      <c r="AC6" s="15" t="str">
        <f>IF(AC$4=$H$4,$H$6,"")</f>
        <v/>
      </c>
      <c r="AD6" s="16"/>
      <c r="AE6" s="15" t="str">
        <f>IF(AE$4=$H$4,$H$6,"")</f>
        <v/>
      </c>
      <c r="AF6" s="16"/>
      <c r="AG6" s="15" t="str">
        <f>IF(AG$4=$H$4,$H$6,"")</f>
        <v/>
      </c>
    </row>
    <row r="7" spans="1:33" s="12" customFormat="1" ht="15.6" customHeight="1" x14ac:dyDescent="0.3">
      <c r="A7" s="11"/>
      <c r="B7" s="11"/>
      <c r="E7" s="13"/>
      <c r="F7" s="11" t="s">
        <v>49</v>
      </c>
      <c r="G7" s="11"/>
      <c r="H7" s="9">
        <f>-'TE Model'!H43</f>
        <v>38.452657499083017</v>
      </c>
      <c r="I7" s="1"/>
      <c r="J7" s="1"/>
      <c r="K7" s="10">
        <f>IF(K$4=$H$4,$H$5,"")</f>
        <v>38.452657499083017</v>
      </c>
      <c r="L7" s="16"/>
      <c r="M7" s="15"/>
      <c r="N7" s="16"/>
      <c r="O7" s="15"/>
      <c r="P7" s="16"/>
      <c r="Q7" s="15"/>
      <c r="R7" s="16"/>
      <c r="S7" s="15"/>
      <c r="T7" s="16"/>
      <c r="U7" s="15"/>
      <c r="V7" s="16"/>
      <c r="W7" s="15"/>
      <c r="X7" s="16"/>
      <c r="Y7" s="15"/>
      <c r="Z7" s="16"/>
      <c r="AA7" s="15"/>
      <c r="AB7" s="16"/>
      <c r="AC7" s="15"/>
      <c r="AD7" s="16"/>
      <c r="AE7" s="15"/>
      <c r="AF7" s="16"/>
      <c r="AG7" s="15"/>
    </row>
    <row r="8" spans="1:33" x14ac:dyDescent="0.3">
      <c r="A8" s="2"/>
      <c r="H8" s="1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x14ac:dyDescent="0.3">
      <c r="B9" s="2" t="s">
        <v>95</v>
      </c>
      <c r="F9" s="18"/>
      <c r="G9" s="18"/>
      <c r="H9" s="19"/>
    </row>
    <row r="10" spans="1:33" x14ac:dyDescent="0.3">
      <c r="C10" s="1" t="s">
        <v>8</v>
      </c>
      <c r="E10" s="3" t="s">
        <v>98</v>
      </c>
      <c r="H10" s="21">
        <f>+INDEX(K10:XFD10,MATCH($H$4,$K$4:$XFD$4,0))</f>
        <v>100</v>
      </c>
      <c r="K10" s="129">
        <v>100</v>
      </c>
      <c r="M10" s="129">
        <v>100</v>
      </c>
      <c r="O10" s="129">
        <v>100</v>
      </c>
      <c r="Q10" s="22"/>
      <c r="S10" s="22"/>
      <c r="U10" s="22"/>
      <c r="W10" s="22"/>
      <c r="Y10" s="22"/>
      <c r="AA10" s="22"/>
      <c r="AC10" s="22"/>
      <c r="AE10" s="22"/>
      <c r="AG10" s="22"/>
    </row>
    <row r="11" spans="1:33" x14ac:dyDescent="0.3">
      <c r="H11" s="21"/>
      <c r="K11" s="22"/>
      <c r="M11" s="22"/>
      <c r="O11" s="22"/>
      <c r="Q11" s="22"/>
      <c r="S11" s="22"/>
      <c r="U11" s="22"/>
      <c r="W11" s="22"/>
      <c r="Y11" s="22"/>
      <c r="AA11" s="22"/>
      <c r="AC11" s="22"/>
      <c r="AE11" s="22"/>
      <c r="AG11" s="22"/>
    </row>
    <row r="12" spans="1:33" x14ac:dyDescent="0.3">
      <c r="C12" s="33" t="s">
        <v>96</v>
      </c>
      <c r="E12" s="3" t="s">
        <v>99</v>
      </c>
      <c r="F12" s="18"/>
      <c r="G12" s="18"/>
      <c r="H12" s="20">
        <f>+INDEX(K12:XFD12,MATCH($H$4,$K$4:$XFD$4,0))</f>
        <v>2023</v>
      </c>
      <c r="K12" s="130">
        <v>2023</v>
      </c>
      <c r="M12" s="130">
        <v>2023</v>
      </c>
      <c r="O12" s="130">
        <v>2023</v>
      </c>
    </row>
    <row r="13" spans="1:33" x14ac:dyDescent="0.3">
      <c r="C13" s="1" t="s">
        <v>6</v>
      </c>
      <c r="E13" s="3" t="s">
        <v>99</v>
      </c>
      <c r="F13" s="18"/>
      <c r="G13" s="18"/>
      <c r="H13" s="20">
        <f>+INDEX(K13:XFD13,MATCH($H$4,$K$4:$XFD$4,0))</f>
        <v>2030</v>
      </c>
      <c r="K13" s="130">
        <v>2030</v>
      </c>
      <c r="M13" s="130">
        <v>2030</v>
      </c>
      <c r="O13" s="130">
        <v>2030</v>
      </c>
    </row>
    <row r="14" spans="1:33" x14ac:dyDescent="0.3">
      <c r="C14" s="33" t="s">
        <v>24</v>
      </c>
      <c r="E14" s="3" t="s">
        <v>14</v>
      </c>
      <c r="F14" s="18"/>
      <c r="G14" s="18"/>
      <c r="H14" s="35">
        <f>+INDEX(K14:XFD14,MATCH($H$4,$K$4:$XFD$4,0))</f>
        <v>0.27</v>
      </c>
      <c r="I14" s="24"/>
      <c r="J14" s="24"/>
      <c r="K14" s="134">
        <v>0.27</v>
      </c>
      <c r="L14" s="135"/>
      <c r="M14" s="134">
        <v>0.27</v>
      </c>
      <c r="N14" s="135"/>
      <c r="O14" s="134">
        <v>0.27</v>
      </c>
    </row>
    <row r="15" spans="1:33" x14ac:dyDescent="0.3">
      <c r="C15" s="33"/>
      <c r="F15" s="18"/>
      <c r="G15" s="18"/>
      <c r="H15" s="35"/>
      <c r="I15" s="24"/>
      <c r="J15" s="24"/>
      <c r="K15" s="34"/>
      <c r="M15" s="34"/>
      <c r="O15" s="34"/>
    </row>
    <row r="16" spans="1:33" x14ac:dyDescent="0.3">
      <c r="C16" s="33" t="s">
        <v>101</v>
      </c>
      <c r="E16" s="3" t="s">
        <v>14</v>
      </c>
      <c r="F16" s="18"/>
      <c r="G16" s="18"/>
      <c r="H16" s="35">
        <f>+INDEX(K16:XFD16,MATCH($H$4,$K$4:$XFD$4,0))</f>
        <v>0.08</v>
      </c>
      <c r="I16" s="24"/>
      <c r="J16" s="24"/>
      <c r="K16" s="134">
        <v>0.08</v>
      </c>
      <c r="L16" s="135"/>
      <c r="M16" s="134">
        <v>0.09</v>
      </c>
      <c r="N16" s="135"/>
      <c r="O16" s="134">
        <v>0.09</v>
      </c>
    </row>
    <row r="17" spans="1:33" x14ac:dyDescent="0.3">
      <c r="F17" s="18"/>
      <c r="G17" s="18"/>
      <c r="H17" s="19"/>
      <c r="K17" s="135"/>
      <c r="L17" s="135"/>
      <c r="M17" s="135"/>
      <c r="N17" s="135"/>
      <c r="O17" s="135"/>
    </row>
    <row r="18" spans="1:33" x14ac:dyDescent="0.3">
      <c r="B18" s="2" t="s">
        <v>9</v>
      </c>
      <c r="H18" s="21"/>
      <c r="K18" s="136"/>
      <c r="L18" s="135"/>
      <c r="M18" s="136"/>
      <c r="N18" s="135"/>
      <c r="O18" s="136"/>
      <c r="Q18" s="22"/>
      <c r="S18" s="22"/>
      <c r="U18" s="22"/>
      <c r="W18" s="22"/>
      <c r="Y18" s="22"/>
      <c r="AA18" s="22"/>
      <c r="AC18" s="22"/>
      <c r="AE18" s="22"/>
      <c r="AG18" s="22"/>
    </row>
    <row r="19" spans="1:33" s="24" customFormat="1" x14ac:dyDescent="0.3">
      <c r="A19" s="1"/>
      <c r="B19" s="2"/>
      <c r="C19" s="33" t="s">
        <v>10</v>
      </c>
      <c r="D19" s="1"/>
      <c r="E19" s="3" t="s">
        <v>14</v>
      </c>
      <c r="F19" s="1"/>
      <c r="G19" s="1"/>
      <c r="H19" s="35">
        <f>+INDEX(K19:XFD19,MATCH($H$4,$K$4:$XFD$4,0))</f>
        <v>0.99</v>
      </c>
      <c r="K19" s="134">
        <v>0.99</v>
      </c>
      <c r="L19" s="137"/>
      <c r="M19" s="134">
        <v>0.99</v>
      </c>
      <c r="N19" s="137"/>
      <c r="O19" s="134">
        <v>0.99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1:33" s="24" customFormat="1" x14ac:dyDescent="0.3">
      <c r="A20" s="1"/>
      <c r="B20" s="2"/>
      <c r="C20" s="1" t="s">
        <v>11</v>
      </c>
      <c r="D20" s="1"/>
      <c r="E20" s="3" t="s">
        <v>14</v>
      </c>
      <c r="F20" s="1"/>
      <c r="G20" s="1"/>
      <c r="H20" s="35">
        <f>+INDEX(K20:XFD20,MATCH($H$4,$K$4:$XFD$4,0))</f>
        <v>0.05</v>
      </c>
      <c r="K20" s="134">
        <v>0.05</v>
      </c>
      <c r="L20" s="137"/>
      <c r="M20" s="134">
        <v>0.05</v>
      </c>
      <c r="N20" s="137"/>
      <c r="O20" s="134">
        <v>0.05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1:33" s="24" customFormat="1" x14ac:dyDescent="0.3">
      <c r="A21" s="1"/>
      <c r="B21" s="2"/>
      <c r="C21" s="1" t="s">
        <v>12</v>
      </c>
      <c r="D21" s="1"/>
      <c r="E21" s="3" t="s">
        <v>14</v>
      </c>
      <c r="F21" s="1"/>
      <c r="G21" s="1"/>
      <c r="H21" s="35">
        <f>+INDEX(K21:XFD21,MATCH($H$4,$K$4:$XFD$4,0))</f>
        <v>0.2</v>
      </c>
      <c r="K21" s="134">
        <v>0.2</v>
      </c>
      <c r="L21" s="137"/>
      <c r="M21" s="134">
        <v>0.2</v>
      </c>
      <c r="N21" s="137"/>
      <c r="O21" s="134">
        <v>0.2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s="24" customFormat="1" x14ac:dyDescent="0.3">
      <c r="A22" s="1"/>
      <c r="B22" s="2"/>
      <c r="C22" s="1" t="s">
        <v>13</v>
      </c>
      <c r="D22" s="1"/>
      <c r="E22" s="3" t="s">
        <v>14</v>
      </c>
      <c r="F22" s="1"/>
      <c r="G22" s="1"/>
      <c r="H22" s="35">
        <f>+INDEX(K22:XFD22,MATCH($H$4,$K$4:$XFD$4,0))</f>
        <v>0.05</v>
      </c>
      <c r="K22" s="134">
        <v>0.05</v>
      </c>
      <c r="L22" s="137"/>
      <c r="M22" s="134">
        <v>0.05</v>
      </c>
      <c r="N22" s="137"/>
      <c r="O22" s="134">
        <v>0.05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s="24" customFormat="1" x14ac:dyDescent="0.3">
      <c r="A23" s="1"/>
      <c r="B23" s="2"/>
      <c r="C23" s="1"/>
      <c r="D23" s="1"/>
      <c r="E23" s="3"/>
      <c r="F23" s="1"/>
      <c r="G23" s="1"/>
      <c r="H23" s="35"/>
      <c r="K23" s="137"/>
      <c r="L23" s="137"/>
      <c r="M23" s="137"/>
      <c r="N23" s="137"/>
      <c r="O23" s="137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s="24" customFormat="1" x14ac:dyDescent="0.3">
      <c r="A24" s="1"/>
      <c r="B24" s="2"/>
      <c r="C24" s="33" t="s">
        <v>32</v>
      </c>
      <c r="D24" s="1"/>
      <c r="E24" s="3" t="s">
        <v>14</v>
      </c>
      <c r="F24" s="1"/>
      <c r="G24" s="1"/>
      <c r="H24" s="35">
        <f>+INDEX(K24:XFD24,MATCH($H$4,$K$4:$XFD$4,0))</f>
        <v>1.0000000000000009E-2</v>
      </c>
      <c r="K24" s="134">
        <f>1-K19</f>
        <v>1.0000000000000009E-2</v>
      </c>
      <c r="L24" s="137"/>
      <c r="M24" s="134">
        <f>1-M19</f>
        <v>1.0000000000000009E-2</v>
      </c>
      <c r="N24" s="137"/>
      <c r="O24" s="134">
        <f>1-O19</f>
        <v>1.0000000000000009E-2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s="24" customFormat="1" x14ac:dyDescent="0.3">
      <c r="A25" s="1"/>
      <c r="B25" s="2"/>
      <c r="C25" s="33" t="s">
        <v>33</v>
      </c>
      <c r="D25" s="1"/>
      <c r="E25" s="3" t="s">
        <v>14</v>
      </c>
      <c r="F25" s="1"/>
      <c r="G25" s="1"/>
      <c r="H25" s="35">
        <f>+INDEX(K25:XFD25,MATCH($H$4,$K$4:$XFD$4,0))</f>
        <v>0.95</v>
      </c>
      <c r="K25" s="134">
        <f t="shared" ref="K25:M27" si="0">1-K20</f>
        <v>0.95</v>
      </c>
      <c r="L25" s="137"/>
      <c r="M25" s="134">
        <f t="shared" si="0"/>
        <v>0.95</v>
      </c>
      <c r="N25" s="137"/>
      <c r="O25" s="134">
        <f t="shared" ref="O25" si="1">1-O20</f>
        <v>0.95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s="24" customFormat="1" x14ac:dyDescent="0.3">
      <c r="A26" s="1"/>
      <c r="B26" s="2"/>
      <c r="C26" s="33" t="s">
        <v>34</v>
      </c>
      <c r="D26" s="1"/>
      <c r="E26" s="3" t="s">
        <v>14</v>
      </c>
      <c r="F26" s="1"/>
      <c r="G26" s="1"/>
      <c r="H26" s="35">
        <f>+INDEX(K26:XFD26,MATCH($H$4,$K$4:$XFD$4,0))</f>
        <v>0.8</v>
      </c>
      <c r="K26" s="134">
        <f t="shared" si="0"/>
        <v>0.8</v>
      </c>
      <c r="L26" s="137"/>
      <c r="M26" s="134">
        <f t="shared" si="0"/>
        <v>0.8</v>
      </c>
      <c r="N26" s="137"/>
      <c r="O26" s="134">
        <f t="shared" ref="O26" si="2">1-O21</f>
        <v>0.8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s="24" customFormat="1" x14ac:dyDescent="0.3">
      <c r="A27" s="1"/>
      <c r="B27" s="2"/>
      <c r="C27" s="33" t="s">
        <v>35</v>
      </c>
      <c r="D27" s="1"/>
      <c r="E27" s="3" t="s">
        <v>14</v>
      </c>
      <c r="F27" s="1"/>
      <c r="G27" s="1"/>
      <c r="H27" s="35">
        <f>+INDEX(K27:XFD27,MATCH($H$4,$K$4:$XFD$4,0))</f>
        <v>0.95</v>
      </c>
      <c r="K27" s="134">
        <f t="shared" si="0"/>
        <v>0.95</v>
      </c>
      <c r="L27" s="137"/>
      <c r="M27" s="134">
        <f t="shared" si="0"/>
        <v>0.95</v>
      </c>
      <c r="N27" s="137"/>
      <c r="O27" s="134">
        <f t="shared" ref="O27" si="3">1-O22</f>
        <v>0.95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s="24" customFormat="1" x14ac:dyDescent="0.3">
      <c r="A28" s="1"/>
      <c r="B28" s="2"/>
      <c r="C28" s="33"/>
      <c r="D28" s="1"/>
      <c r="E28" s="3"/>
      <c r="F28" s="1"/>
      <c r="G28" s="1"/>
      <c r="H28" s="35"/>
      <c r="K28" s="138"/>
      <c r="L28" s="137"/>
      <c r="M28" s="138"/>
      <c r="N28" s="137"/>
      <c r="O28" s="138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s="24" customFormat="1" x14ac:dyDescent="0.3">
      <c r="A29" s="1"/>
      <c r="B29" s="2"/>
      <c r="C29" s="33" t="s">
        <v>70</v>
      </c>
      <c r="D29" s="1"/>
      <c r="E29" s="3" t="s">
        <v>14</v>
      </c>
      <c r="F29" s="1"/>
      <c r="G29" s="1"/>
      <c r="H29" s="35">
        <f>+INDEX(K29:XFD29,MATCH($H$4,$K$4:$XFD$4,0))</f>
        <v>0.7</v>
      </c>
      <c r="K29" s="134">
        <v>0.7</v>
      </c>
      <c r="L29" s="137"/>
      <c r="M29" s="134">
        <v>0.7</v>
      </c>
      <c r="N29" s="137"/>
      <c r="O29" s="134">
        <v>0.7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s="24" customFormat="1" x14ac:dyDescent="0.3">
      <c r="A30" s="1"/>
      <c r="B30" s="2"/>
      <c r="C30" s="33"/>
      <c r="D30" s="1"/>
      <c r="E30" s="3"/>
      <c r="F30" s="1"/>
      <c r="G30" s="1"/>
      <c r="H30" s="23"/>
      <c r="K30" s="25"/>
      <c r="L30" s="26"/>
      <c r="M30" s="25"/>
      <c r="N30" s="26"/>
      <c r="O30" s="25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x14ac:dyDescent="0.3">
      <c r="B31" s="2" t="s">
        <v>16</v>
      </c>
      <c r="H31" s="27"/>
    </row>
    <row r="32" spans="1:33" x14ac:dyDescent="0.3">
      <c r="C32" s="1" t="s">
        <v>17</v>
      </c>
      <c r="E32" s="3" t="s">
        <v>14</v>
      </c>
      <c r="H32" s="28">
        <f>+INDEX(K32:XFD32,MATCH($H$4,$K$4:$XFD$4,0))</f>
        <v>0.03</v>
      </c>
      <c r="K32" s="131">
        <v>0.03</v>
      </c>
      <c r="M32" s="131">
        <v>0.02</v>
      </c>
      <c r="O32" s="131">
        <v>0.02</v>
      </c>
      <c r="Q32" s="29"/>
      <c r="S32" s="29"/>
      <c r="U32" s="29"/>
      <c r="W32" s="29"/>
      <c r="Y32" s="29"/>
      <c r="AA32" s="29"/>
      <c r="AC32" s="29"/>
      <c r="AE32" s="29"/>
      <c r="AG32" s="29"/>
    </row>
    <row r="33" spans="3:33" x14ac:dyDescent="0.3">
      <c r="C33" s="33" t="s">
        <v>56</v>
      </c>
      <c r="E33" s="3" t="s">
        <v>7</v>
      </c>
      <c r="H33" s="20">
        <f>+INDEX(K33:XFD33,MATCH($H$4,$K$4:$XFD$4,0))</f>
        <v>15</v>
      </c>
      <c r="I33" s="30"/>
      <c r="J33" s="30"/>
      <c r="K33" s="132">
        <v>15</v>
      </c>
      <c r="L33" s="32"/>
      <c r="M33" s="132">
        <v>15</v>
      </c>
      <c r="N33" s="32"/>
      <c r="O33" s="132">
        <v>15</v>
      </c>
      <c r="P33" s="32"/>
      <c r="Q33" s="31"/>
      <c r="R33" s="32"/>
      <c r="S33" s="31"/>
      <c r="T33" s="32"/>
      <c r="U33" s="31"/>
      <c r="V33" s="32"/>
      <c r="W33" s="31"/>
      <c r="X33" s="32"/>
      <c r="Y33" s="31"/>
      <c r="Z33" s="32"/>
      <c r="AA33" s="31"/>
      <c r="AB33" s="32"/>
      <c r="AC33" s="31"/>
      <c r="AD33" s="32"/>
      <c r="AE33" s="31"/>
      <c r="AF33" s="32"/>
      <c r="AG33" s="31"/>
    </row>
    <row r="34" spans="3:33" x14ac:dyDescent="0.3">
      <c r="C34" s="33" t="s">
        <v>58</v>
      </c>
      <c r="E34" s="3" t="s">
        <v>100</v>
      </c>
      <c r="H34" s="36">
        <f>+INDEX(K34:XFD34,MATCH($H$4,$K$4:$XFD$4,0))</f>
        <v>1.25</v>
      </c>
      <c r="I34" s="30"/>
      <c r="J34" s="30"/>
      <c r="K34" s="133">
        <v>1.25</v>
      </c>
      <c r="L34" s="32"/>
      <c r="M34" s="133">
        <v>1.25</v>
      </c>
      <c r="N34" s="32"/>
      <c r="O34" s="133">
        <v>1.25</v>
      </c>
      <c r="P34" s="32"/>
      <c r="Q34" s="31"/>
      <c r="R34" s="32"/>
      <c r="S34" s="31"/>
      <c r="T34" s="32"/>
      <c r="U34" s="31"/>
      <c r="V34" s="32"/>
      <c r="W34" s="31"/>
      <c r="X34" s="32"/>
      <c r="Y34" s="31"/>
      <c r="Z34" s="32"/>
      <c r="AA34" s="31"/>
      <c r="AB34" s="32"/>
      <c r="AC34" s="31"/>
      <c r="AD34" s="32"/>
      <c r="AE34" s="31"/>
      <c r="AF34" s="32"/>
      <c r="AG34" s="31"/>
    </row>
    <row r="35" spans="3:33" ht="15" thickBot="1" x14ac:dyDescent="0.35">
      <c r="H35" s="106"/>
    </row>
    <row r="36" spans="3:33" x14ac:dyDescent="0.3"/>
    <row r="37" spans="3:33" hidden="1" x14ac:dyDescent="0.3"/>
    <row r="38" spans="3:33" hidden="1" x14ac:dyDescent="0.3"/>
    <row r="39" spans="3:33" hidden="1" x14ac:dyDescent="0.3"/>
    <row r="40" spans="3:33" hidden="1" x14ac:dyDescent="0.3"/>
    <row r="41" spans="3:33" hidden="1" x14ac:dyDescent="0.3"/>
    <row r="42" spans="3:33" hidden="1" x14ac:dyDescent="0.3"/>
    <row r="43" spans="3:33" hidden="1" x14ac:dyDescent="0.3"/>
    <row r="44" spans="3:33" hidden="1" x14ac:dyDescent="0.3"/>
    <row r="45" spans="3:33" hidden="1" x14ac:dyDescent="0.3"/>
    <row r="46" spans="3:33" hidden="1" x14ac:dyDescent="0.3"/>
    <row r="47" spans="3:33" hidden="1" x14ac:dyDescent="0.3"/>
    <row r="48" spans="3:33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x14ac:dyDescent="0.3"/>
    <row r="96" x14ac:dyDescent="0.3"/>
    <row r="97" x14ac:dyDescent="0.3"/>
  </sheetData>
  <conditionalFormatting sqref="H8">
    <cfRule type="cellIs" dxfId="3" priority="4" stopIfTrue="1" operator="notEqual">
      <formula>0.6545646468</formula>
    </cfRule>
  </conditionalFormatting>
  <conditionalFormatting sqref="AG3:AG7 AE3:AE7 AC3:AC7 AA3:AA7 Y3:Y7 W3:W7 U3:U7 S3:S7 Q3:Q7 M3:M7 O3:O7 K4:K6">
    <cfRule type="expression" dxfId="2" priority="3">
      <formula>K$4=$H$4</formula>
    </cfRule>
  </conditionalFormatting>
  <conditionalFormatting sqref="K3">
    <cfRule type="expression" dxfId="1" priority="2">
      <formula>K$4=$H$4</formula>
    </cfRule>
  </conditionalFormatting>
  <conditionalFormatting sqref="K7">
    <cfRule type="expression" dxfId="0" priority="1">
      <formula>K$4=$H$4</formula>
    </cfRule>
  </conditionalFormatting>
  <pageMargins left="0.7" right="0.7" top="0.75" bottom="0.75" header="0.3" footer="0.3"/>
  <ignoredErrors>
    <ignoredError sqref="K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F8A2-7E1A-443D-9904-0916D59CE04C}">
  <sheetPr codeName="Sheet7">
    <tabColor theme="4"/>
    <outlinePr summaryBelow="0"/>
  </sheetPr>
  <dimension ref="A1:ES268"/>
  <sheetViews>
    <sheetView showGridLines="0" tabSelected="1" zoomScale="70" zoomScaleNormal="70" workbookViewId="0">
      <pane xSplit="8" ySplit="7" topLeftCell="I8" activePane="bottomRight" state="frozen"/>
      <selection activeCell="J15" sqref="J15"/>
      <selection pane="topRight" activeCell="J15" sqref="J15"/>
      <selection pane="bottomLeft" activeCell="J15" sqref="J15"/>
      <selection pane="bottomRight" activeCell="F21" sqref="F21"/>
    </sheetView>
  </sheetViews>
  <sheetFormatPr defaultColWidth="0" defaultRowHeight="14.4" zeroHeight="1" outlineLevelRow="1" x14ac:dyDescent="0.3"/>
  <cols>
    <col min="1" max="1" width="1.88671875" style="46" customWidth="1"/>
    <col min="2" max="2" width="2" style="46" customWidth="1"/>
    <col min="3" max="3" width="49.44140625" style="46" customWidth="1"/>
    <col min="4" max="4" width="9.109375" style="47" customWidth="1"/>
    <col min="5" max="5" width="11.88671875" style="46" customWidth="1"/>
    <col min="6" max="6" width="10.6640625" style="46" customWidth="1"/>
    <col min="7" max="7" width="9.109375" style="46" customWidth="1"/>
    <col min="8" max="8" width="10.6640625" style="46" bestFit="1" customWidth="1"/>
    <col min="9" max="9" width="12.5546875" style="46" bestFit="1" customWidth="1"/>
    <col min="10" max="10" width="12" style="46" bestFit="1" customWidth="1"/>
    <col min="11" max="12" width="12.109375" style="46" bestFit="1" customWidth="1"/>
    <col min="13" max="13" width="12.5546875" style="46" bestFit="1" customWidth="1"/>
    <col min="14" max="14" width="12" style="46" bestFit="1" customWidth="1"/>
    <col min="15" max="16" width="12.109375" style="46" bestFit="1" customWidth="1"/>
    <col min="17" max="17" width="12.5546875" style="46" bestFit="1" customWidth="1"/>
    <col min="18" max="18" width="12" style="46" bestFit="1" customWidth="1"/>
    <col min="19" max="20" width="12.109375" style="46" bestFit="1" customWidth="1"/>
    <col min="21" max="21" width="12.5546875" style="46" bestFit="1" customWidth="1"/>
    <col min="22" max="22" width="12" style="46" bestFit="1" customWidth="1"/>
    <col min="23" max="24" width="12.109375" style="46" bestFit="1" customWidth="1"/>
    <col min="25" max="25" width="12.5546875" style="46" bestFit="1" customWidth="1"/>
    <col min="26" max="26" width="12" style="46" bestFit="1" customWidth="1"/>
    <col min="27" max="28" width="12.109375" style="46" bestFit="1" customWidth="1"/>
    <col min="29" max="29" width="12.5546875" style="46" bestFit="1" customWidth="1"/>
    <col min="30" max="30" width="12" style="46" bestFit="1" customWidth="1"/>
    <col min="31" max="32" width="12.109375" style="46" bestFit="1" customWidth="1"/>
    <col min="33" max="33" width="12.5546875" style="46" bestFit="1" customWidth="1"/>
    <col min="34" max="34" width="12" style="46" bestFit="1" customWidth="1"/>
    <col min="35" max="36" width="12.109375" style="46" bestFit="1" customWidth="1"/>
    <col min="37" max="37" width="12.5546875" style="46" bestFit="1" customWidth="1"/>
    <col min="38" max="38" width="12" style="46" bestFit="1" customWidth="1"/>
    <col min="39" max="40" width="12.109375" style="46" bestFit="1" customWidth="1"/>
    <col min="41" max="41" width="12.5546875" style="46" bestFit="1" customWidth="1"/>
    <col min="42" max="42" width="12" style="46" bestFit="1" customWidth="1"/>
    <col min="43" max="43" width="12.109375" style="46" bestFit="1" customWidth="1"/>
    <col min="44" max="44" width="3.6640625" style="46" customWidth="1"/>
    <col min="45" max="45" width="12.5546875" style="46" hidden="1" customWidth="1"/>
    <col min="46" max="46" width="12" style="46" hidden="1" customWidth="1"/>
    <col min="47" max="48" width="12.109375" style="46" hidden="1" customWidth="1"/>
    <col min="49" max="49" width="12.5546875" style="46" hidden="1" customWidth="1"/>
    <col min="50" max="50" width="12" style="46" hidden="1" customWidth="1"/>
    <col min="51" max="52" width="12.109375" style="46" hidden="1" customWidth="1"/>
    <col min="53" max="53" width="12.5546875" style="46" hidden="1" customWidth="1"/>
    <col min="54" max="54" width="12" style="46" hidden="1" customWidth="1"/>
    <col min="55" max="56" width="12.109375" style="46" hidden="1" customWidth="1"/>
    <col min="57" max="57" width="12.5546875" style="46" hidden="1" customWidth="1"/>
    <col min="58" max="58" width="12" style="46" hidden="1" customWidth="1"/>
    <col min="59" max="60" width="12.109375" style="46" hidden="1" customWidth="1"/>
    <col min="61" max="61" width="12.5546875" style="46" hidden="1" customWidth="1"/>
    <col min="62" max="62" width="12" style="46" hidden="1" customWidth="1"/>
    <col min="63" max="64" width="12.109375" style="46" hidden="1" customWidth="1"/>
    <col min="65" max="65" width="12.5546875" style="46" hidden="1" customWidth="1"/>
    <col min="66" max="66" width="12" style="46" hidden="1" customWidth="1"/>
    <col min="67" max="68" width="12.109375" style="46" hidden="1" customWidth="1"/>
    <col min="69" max="69" width="12.5546875" style="46" hidden="1" customWidth="1"/>
    <col min="70" max="70" width="12" style="46" hidden="1" customWidth="1"/>
    <col min="71" max="72" width="12.109375" style="46" hidden="1" customWidth="1"/>
    <col min="73" max="73" width="12.5546875" style="46" hidden="1" customWidth="1"/>
    <col min="74" max="74" width="12" style="46" hidden="1" customWidth="1"/>
    <col min="75" max="76" width="12.109375" style="46" hidden="1" customWidth="1"/>
    <col min="77" max="77" width="12.5546875" style="46" hidden="1" customWidth="1"/>
    <col min="78" max="78" width="12" style="46" hidden="1" customWidth="1"/>
    <col min="79" max="80" width="12.109375" style="46" hidden="1" customWidth="1"/>
    <col min="81" max="81" width="12.5546875" style="46" hidden="1" customWidth="1"/>
    <col min="82" max="82" width="12" style="46" hidden="1" customWidth="1"/>
    <col min="83" max="84" width="12.109375" style="46" hidden="1" customWidth="1"/>
    <col min="85" max="85" width="12.5546875" style="46" hidden="1" customWidth="1"/>
    <col min="86" max="86" width="12" style="46" hidden="1" customWidth="1"/>
    <col min="87" max="88" width="12.109375" style="46" hidden="1" customWidth="1"/>
    <col min="89" max="89" width="12.5546875" style="46" hidden="1" customWidth="1"/>
    <col min="90" max="90" width="12" style="46" hidden="1" customWidth="1"/>
    <col min="91" max="92" width="12.109375" style="46" hidden="1" customWidth="1"/>
    <col min="93" max="93" width="12.5546875" style="46" hidden="1" customWidth="1"/>
    <col min="94" max="94" width="12" style="46" hidden="1" customWidth="1"/>
    <col min="95" max="96" width="12.109375" style="46" hidden="1" customWidth="1"/>
    <col min="97" max="97" width="12.5546875" style="46" hidden="1" customWidth="1"/>
    <col min="98" max="98" width="12" style="46" hidden="1" customWidth="1"/>
    <col min="99" max="100" width="12.109375" style="46" hidden="1" customWidth="1"/>
    <col min="101" max="101" width="12.5546875" style="46" hidden="1" customWidth="1"/>
    <col min="102" max="102" width="12" style="46" hidden="1" customWidth="1"/>
    <col min="103" max="104" width="12.109375" style="46" hidden="1" customWidth="1"/>
    <col min="105" max="105" width="12.5546875" style="46" hidden="1" customWidth="1"/>
    <col min="106" max="106" width="12" style="46" hidden="1" customWidth="1"/>
    <col min="107" max="108" width="12.109375" style="46" hidden="1" customWidth="1"/>
    <col min="109" max="109" width="12.5546875" style="46" hidden="1" customWidth="1"/>
    <col min="110" max="110" width="12" style="46" hidden="1" customWidth="1"/>
    <col min="111" max="112" width="12.109375" style="46" hidden="1" customWidth="1"/>
    <col min="113" max="113" width="12.5546875" style="46" hidden="1" customWidth="1"/>
    <col min="114" max="114" width="12" style="46" hidden="1" customWidth="1"/>
    <col min="115" max="116" width="12.109375" style="46" hidden="1" customWidth="1"/>
    <col min="117" max="117" width="12.5546875" style="46" hidden="1" customWidth="1"/>
    <col min="118" max="118" width="12" style="46" hidden="1" customWidth="1"/>
    <col min="119" max="120" width="12.109375" style="46" hidden="1" customWidth="1"/>
    <col min="121" max="121" width="12.5546875" style="46" hidden="1" customWidth="1"/>
    <col min="122" max="122" width="12" style="46" hidden="1" customWidth="1"/>
    <col min="123" max="124" width="12.109375" style="46" hidden="1" customWidth="1"/>
    <col min="125" max="125" width="12.5546875" style="46" hidden="1" customWidth="1"/>
    <col min="126" max="126" width="12" style="46" hidden="1" customWidth="1"/>
    <col min="127" max="128" width="12.109375" style="46" hidden="1" customWidth="1"/>
    <col min="129" max="129" width="12.5546875" style="46" hidden="1" customWidth="1"/>
    <col min="130" max="130" width="12" style="46" hidden="1" customWidth="1"/>
    <col min="131" max="132" width="12.109375" style="46" hidden="1" customWidth="1"/>
    <col min="133" max="133" width="12.5546875" style="46" hidden="1" customWidth="1"/>
    <col min="134" max="134" width="12" style="46" hidden="1" customWidth="1"/>
    <col min="135" max="136" width="12.109375" style="46" hidden="1" customWidth="1"/>
    <col min="137" max="137" width="12.5546875" style="46" hidden="1" customWidth="1"/>
    <col min="138" max="138" width="12" style="46" hidden="1" customWidth="1"/>
    <col min="139" max="140" width="12.109375" style="46" hidden="1" customWidth="1"/>
    <col min="141" max="141" width="12.5546875" style="46" hidden="1" customWidth="1"/>
    <col min="142" max="142" width="12" style="46" hidden="1" customWidth="1"/>
    <col min="143" max="144" width="12.109375" style="46" hidden="1" customWidth="1"/>
    <col min="145" max="145" width="12.5546875" style="46" hidden="1" customWidth="1"/>
    <col min="146" max="146" width="12" style="46" hidden="1" customWidth="1"/>
    <col min="147" max="148" width="12.109375" style="46" hidden="1" customWidth="1"/>
    <col min="149" max="149" width="3.88671875" style="46" hidden="1" customWidth="1"/>
    <col min="150" max="16384" width="9.109375" style="46" hidden="1"/>
  </cols>
  <sheetData>
    <row r="1" spans="1:43" s="39" customFormat="1" ht="13.8" customHeight="1" x14ac:dyDescent="0.3">
      <c r="A1" s="37"/>
      <c r="B1" s="37"/>
      <c r="C1" s="37"/>
      <c r="D1" s="38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</row>
    <row r="2" spans="1:43" s="41" customFormat="1" x14ac:dyDescent="0.3">
      <c r="A2" s="40"/>
      <c r="B2" s="40"/>
      <c r="C2" s="40"/>
      <c r="D2" s="40"/>
      <c r="E2" s="40"/>
      <c r="F2" s="40"/>
      <c r="G2" s="40"/>
      <c r="H2" s="40"/>
      <c r="I2" s="126">
        <f>Inputs!H12</f>
        <v>2023</v>
      </c>
      <c r="J2" s="40">
        <f>I2+1</f>
        <v>2024</v>
      </c>
      <c r="K2" s="40">
        <f t="shared" ref="K2:AQ3" si="0">J2+1</f>
        <v>2025</v>
      </c>
      <c r="L2" s="40">
        <f t="shared" si="0"/>
        <v>2026</v>
      </c>
      <c r="M2" s="40">
        <f t="shared" si="0"/>
        <v>2027</v>
      </c>
      <c r="N2" s="40">
        <f t="shared" si="0"/>
        <v>2028</v>
      </c>
      <c r="O2" s="40">
        <f t="shared" si="0"/>
        <v>2029</v>
      </c>
      <c r="P2" s="40">
        <f t="shared" si="0"/>
        <v>2030</v>
      </c>
      <c r="Q2" s="40">
        <f t="shared" si="0"/>
        <v>2031</v>
      </c>
      <c r="R2" s="40">
        <f t="shared" si="0"/>
        <v>2032</v>
      </c>
      <c r="S2" s="40">
        <f t="shared" si="0"/>
        <v>2033</v>
      </c>
      <c r="T2" s="40">
        <f t="shared" si="0"/>
        <v>2034</v>
      </c>
      <c r="U2" s="40">
        <f t="shared" si="0"/>
        <v>2035</v>
      </c>
      <c r="V2" s="40">
        <f t="shared" si="0"/>
        <v>2036</v>
      </c>
      <c r="W2" s="40">
        <f t="shared" si="0"/>
        <v>2037</v>
      </c>
      <c r="X2" s="40">
        <f t="shared" si="0"/>
        <v>2038</v>
      </c>
      <c r="Y2" s="40">
        <f t="shared" si="0"/>
        <v>2039</v>
      </c>
      <c r="Z2" s="40">
        <f t="shared" si="0"/>
        <v>2040</v>
      </c>
      <c r="AA2" s="40">
        <f t="shared" si="0"/>
        <v>2041</v>
      </c>
      <c r="AB2" s="40">
        <f t="shared" si="0"/>
        <v>2042</v>
      </c>
      <c r="AC2" s="40">
        <f t="shared" si="0"/>
        <v>2043</v>
      </c>
      <c r="AD2" s="40">
        <f t="shared" si="0"/>
        <v>2044</v>
      </c>
      <c r="AE2" s="40">
        <f t="shared" si="0"/>
        <v>2045</v>
      </c>
      <c r="AF2" s="40">
        <f t="shared" si="0"/>
        <v>2046</v>
      </c>
      <c r="AG2" s="40">
        <f t="shared" si="0"/>
        <v>2047</v>
      </c>
      <c r="AH2" s="40">
        <f t="shared" si="0"/>
        <v>2048</v>
      </c>
      <c r="AI2" s="40">
        <f t="shared" si="0"/>
        <v>2049</v>
      </c>
      <c r="AJ2" s="40">
        <f t="shared" si="0"/>
        <v>2050</v>
      </c>
      <c r="AK2" s="40">
        <f t="shared" si="0"/>
        <v>2051</v>
      </c>
      <c r="AL2" s="40">
        <f t="shared" si="0"/>
        <v>2052</v>
      </c>
      <c r="AM2" s="40">
        <f t="shared" si="0"/>
        <v>2053</v>
      </c>
      <c r="AN2" s="40">
        <f t="shared" si="0"/>
        <v>2054</v>
      </c>
      <c r="AO2" s="40">
        <f t="shared" si="0"/>
        <v>2055</v>
      </c>
      <c r="AP2" s="40">
        <f t="shared" si="0"/>
        <v>2056</v>
      </c>
      <c r="AQ2" s="40">
        <f t="shared" si="0"/>
        <v>2057</v>
      </c>
    </row>
    <row r="3" spans="1:43" s="42" customFormat="1" outlineLevel="1" x14ac:dyDescent="0.3">
      <c r="D3" s="43"/>
      <c r="G3" s="42" t="s">
        <v>93</v>
      </c>
      <c r="I3" s="44">
        <f>H3+1</f>
        <v>1</v>
      </c>
      <c r="J3" s="44">
        <f>I3+1</f>
        <v>2</v>
      </c>
      <c r="K3" s="44">
        <f t="shared" si="0"/>
        <v>3</v>
      </c>
      <c r="L3" s="44">
        <f t="shared" si="0"/>
        <v>4</v>
      </c>
      <c r="M3" s="44">
        <f t="shared" si="0"/>
        <v>5</v>
      </c>
      <c r="N3" s="44">
        <f t="shared" si="0"/>
        <v>6</v>
      </c>
      <c r="O3" s="44">
        <f t="shared" si="0"/>
        <v>7</v>
      </c>
      <c r="P3" s="44">
        <f t="shared" si="0"/>
        <v>8</v>
      </c>
      <c r="Q3" s="44">
        <f t="shared" si="0"/>
        <v>9</v>
      </c>
      <c r="R3" s="44">
        <f t="shared" si="0"/>
        <v>10</v>
      </c>
      <c r="S3" s="44">
        <f t="shared" si="0"/>
        <v>11</v>
      </c>
      <c r="T3" s="44">
        <f t="shared" si="0"/>
        <v>12</v>
      </c>
      <c r="U3" s="44">
        <f t="shared" si="0"/>
        <v>13</v>
      </c>
      <c r="V3" s="44">
        <f t="shared" si="0"/>
        <v>14</v>
      </c>
      <c r="W3" s="44">
        <f t="shared" si="0"/>
        <v>15</v>
      </c>
      <c r="X3" s="44">
        <f t="shared" si="0"/>
        <v>16</v>
      </c>
      <c r="Y3" s="44">
        <f t="shared" si="0"/>
        <v>17</v>
      </c>
      <c r="Z3" s="44">
        <f t="shared" si="0"/>
        <v>18</v>
      </c>
      <c r="AA3" s="44">
        <f t="shared" si="0"/>
        <v>19</v>
      </c>
      <c r="AB3" s="44">
        <f t="shared" si="0"/>
        <v>20</v>
      </c>
      <c r="AC3" s="44">
        <f t="shared" si="0"/>
        <v>21</v>
      </c>
      <c r="AD3" s="44">
        <f t="shared" si="0"/>
        <v>22</v>
      </c>
      <c r="AE3" s="44">
        <f t="shared" si="0"/>
        <v>23</v>
      </c>
      <c r="AF3" s="44">
        <f t="shared" si="0"/>
        <v>24</v>
      </c>
      <c r="AG3" s="44">
        <f t="shared" si="0"/>
        <v>25</v>
      </c>
      <c r="AH3" s="44">
        <f t="shared" si="0"/>
        <v>26</v>
      </c>
      <c r="AI3" s="44">
        <f t="shared" si="0"/>
        <v>27</v>
      </c>
      <c r="AJ3" s="44">
        <f t="shared" si="0"/>
        <v>28</v>
      </c>
      <c r="AK3" s="44">
        <f t="shared" si="0"/>
        <v>29</v>
      </c>
      <c r="AL3" s="44">
        <f t="shared" si="0"/>
        <v>30</v>
      </c>
      <c r="AM3" s="44">
        <f t="shared" si="0"/>
        <v>31</v>
      </c>
      <c r="AN3" s="44">
        <f t="shared" si="0"/>
        <v>32</v>
      </c>
      <c r="AO3" s="44">
        <f t="shared" si="0"/>
        <v>33</v>
      </c>
      <c r="AP3" s="44">
        <f t="shared" si="0"/>
        <v>34</v>
      </c>
      <c r="AQ3" s="44">
        <f t="shared" si="0"/>
        <v>35</v>
      </c>
    </row>
    <row r="4" spans="1:43" s="45" customFormat="1" outlineLevel="1" x14ac:dyDescent="0.3">
      <c r="G4" s="42" t="s">
        <v>18</v>
      </c>
      <c r="I4" s="44">
        <f>IF(I2&lt;Inputs!$H$13,1,0)</f>
        <v>1</v>
      </c>
      <c r="J4" s="44">
        <f>IF(J2&lt;Inputs!$H$13,1,0)</f>
        <v>1</v>
      </c>
      <c r="K4" s="44">
        <f>IF(K2&lt;Inputs!$H$13,1,0)</f>
        <v>1</v>
      </c>
      <c r="L4" s="44">
        <f>IF(L2&lt;Inputs!$H$13,1,0)</f>
        <v>1</v>
      </c>
      <c r="M4" s="44">
        <f>IF(M2&lt;Inputs!$H$13,1,0)</f>
        <v>1</v>
      </c>
      <c r="N4" s="44">
        <f>IF(N2&lt;Inputs!$H$13,1,0)</f>
        <v>1</v>
      </c>
      <c r="O4" s="44">
        <f>IF(O2&lt;Inputs!$H$13,1,0)</f>
        <v>1</v>
      </c>
      <c r="P4" s="44">
        <f>IF(P2&lt;Inputs!$H$13,1,0)</f>
        <v>0</v>
      </c>
      <c r="Q4" s="44">
        <f>IF(Q2&lt;Inputs!$H$13,1,0)</f>
        <v>0</v>
      </c>
      <c r="R4" s="44">
        <f>IF(R2&lt;Inputs!$H$13,1,0)</f>
        <v>0</v>
      </c>
      <c r="S4" s="44">
        <f>IF(S2&lt;Inputs!$H$13,1,0)</f>
        <v>0</v>
      </c>
      <c r="T4" s="44">
        <f>IF(T2&lt;Inputs!$H$13,1,0)</f>
        <v>0</v>
      </c>
      <c r="U4" s="44">
        <f>IF(U2&lt;Inputs!$H$13,1,0)</f>
        <v>0</v>
      </c>
      <c r="V4" s="44">
        <f>IF(V2&lt;Inputs!$H$13,1,0)</f>
        <v>0</v>
      </c>
      <c r="W4" s="44">
        <f>IF(W2&lt;Inputs!$H$13,1,0)</f>
        <v>0</v>
      </c>
      <c r="X4" s="44">
        <f>IF(X2&lt;Inputs!$H$13,1,0)</f>
        <v>0</v>
      </c>
      <c r="Y4" s="44">
        <f>IF(Y2&lt;Inputs!$H$13,1,0)</f>
        <v>0</v>
      </c>
      <c r="Z4" s="44">
        <f>IF(Z2&lt;Inputs!$H$13,1,0)</f>
        <v>0</v>
      </c>
      <c r="AA4" s="44">
        <f>IF(AA2&lt;Inputs!$H$13,1,0)</f>
        <v>0</v>
      </c>
      <c r="AB4" s="44">
        <f>IF(AB2&lt;Inputs!$H$13,1,0)</f>
        <v>0</v>
      </c>
      <c r="AC4" s="44">
        <f>IF(AC2&lt;Inputs!$H$13,1,0)</f>
        <v>0</v>
      </c>
      <c r="AD4" s="44">
        <f>IF(AD2&lt;Inputs!$H$13,1,0)</f>
        <v>0</v>
      </c>
      <c r="AE4" s="44">
        <f>IF(AE2&lt;Inputs!$H$13,1,0)</f>
        <v>0</v>
      </c>
      <c r="AF4" s="44">
        <f>IF(AF2&lt;Inputs!$H$13,1,0)</f>
        <v>0</v>
      </c>
      <c r="AG4" s="44">
        <f>IF(AG2&lt;Inputs!$H$13,1,0)</f>
        <v>0</v>
      </c>
      <c r="AH4" s="44">
        <f>IF(AH2&lt;Inputs!$H$13,1,0)</f>
        <v>0</v>
      </c>
      <c r="AI4" s="44">
        <f>IF(AI2&lt;Inputs!$H$13,1,0)</f>
        <v>0</v>
      </c>
      <c r="AJ4" s="44">
        <f>IF(AJ2&lt;Inputs!$H$13,1,0)</f>
        <v>0</v>
      </c>
      <c r="AK4" s="44">
        <f>IF(AK2&lt;Inputs!$H$13,1,0)</f>
        <v>0</v>
      </c>
      <c r="AL4" s="44">
        <f>IF(AL2&lt;Inputs!$H$13,1,0)</f>
        <v>0</v>
      </c>
      <c r="AM4" s="44">
        <f>IF(AM2&lt;Inputs!$H$13,1,0)</f>
        <v>0</v>
      </c>
      <c r="AN4" s="44">
        <f>IF(AN2&lt;Inputs!$H$13,1,0)</f>
        <v>0</v>
      </c>
      <c r="AO4" s="44">
        <f>IF(AO2&lt;Inputs!$H$13,1,0)</f>
        <v>0</v>
      </c>
      <c r="AP4" s="44">
        <f>IF(AP2&lt;Inputs!$H$13,1,0)</f>
        <v>0</v>
      </c>
      <c r="AQ4" s="44">
        <f>IF(AQ2&lt;Inputs!$H$13,1,0)</f>
        <v>0</v>
      </c>
    </row>
    <row r="5" spans="1:43" s="45" customFormat="1" outlineLevel="1" x14ac:dyDescent="0.3">
      <c r="G5" s="42" t="s">
        <v>19</v>
      </c>
      <c r="I5" s="44">
        <f>1-I4</f>
        <v>0</v>
      </c>
      <c r="J5" s="44">
        <f t="shared" ref="J5:AQ5" si="1">1-J4</f>
        <v>0</v>
      </c>
      <c r="K5" s="44">
        <f t="shared" si="1"/>
        <v>0</v>
      </c>
      <c r="L5" s="44">
        <f t="shared" si="1"/>
        <v>0</v>
      </c>
      <c r="M5" s="44">
        <f t="shared" si="1"/>
        <v>0</v>
      </c>
      <c r="N5" s="44">
        <f t="shared" si="1"/>
        <v>0</v>
      </c>
      <c r="O5" s="44">
        <f t="shared" si="1"/>
        <v>0</v>
      </c>
      <c r="P5" s="44">
        <f t="shared" si="1"/>
        <v>1</v>
      </c>
      <c r="Q5" s="44">
        <f t="shared" si="1"/>
        <v>1</v>
      </c>
      <c r="R5" s="44">
        <f t="shared" si="1"/>
        <v>1</v>
      </c>
      <c r="S5" s="44">
        <f t="shared" si="1"/>
        <v>1</v>
      </c>
      <c r="T5" s="44">
        <f t="shared" si="1"/>
        <v>1</v>
      </c>
      <c r="U5" s="44">
        <f t="shared" si="1"/>
        <v>1</v>
      </c>
      <c r="V5" s="44">
        <f t="shared" si="1"/>
        <v>1</v>
      </c>
      <c r="W5" s="44">
        <f t="shared" si="1"/>
        <v>1</v>
      </c>
      <c r="X5" s="44">
        <f t="shared" si="1"/>
        <v>1</v>
      </c>
      <c r="Y5" s="44">
        <f t="shared" si="1"/>
        <v>1</v>
      </c>
      <c r="Z5" s="44">
        <f t="shared" si="1"/>
        <v>1</v>
      </c>
      <c r="AA5" s="44">
        <f t="shared" si="1"/>
        <v>1</v>
      </c>
      <c r="AB5" s="44">
        <f t="shared" si="1"/>
        <v>1</v>
      </c>
      <c r="AC5" s="44">
        <f t="shared" si="1"/>
        <v>1</v>
      </c>
      <c r="AD5" s="44">
        <f t="shared" si="1"/>
        <v>1</v>
      </c>
      <c r="AE5" s="44">
        <f t="shared" si="1"/>
        <v>1</v>
      </c>
      <c r="AF5" s="44">
        <f t="shared" si="1"/>
        <v>1</v>
      </c>
      <c r="AG5" s="44">
        <f t="shared" si="1"/>
        <v>1</v>
      </c>
      <c r="AH5" s="44">
        <f t="shared" si="1"/>
        <v>1</v>
      </c>
      <c r="AI5" s="44">
        <f t="shared" si="1"/>
        <v>1</v>
      </c>
      <c r="AJ5" s="44">
        <f t="shared" si="1"/>
        <v>1</v>
      </c>
      <c r="AK5" s="44">
        <f t="shared" si="1"/>
        <v>1</v>
      </c>
      <c r="AL5" s="44">
        <f t="shared" si="1"/>
        <v>1</v>
      </c>
      <c r="AM5" s="44">
        <f t="shared" si="1"/>
        <v>1</v>
      </c>
      <c r="AN5" s="44">
        <f t="shared" si="1"/>
        <v>1</v>
      </c>
      <c r="AO5" s="44">
        <f t="shared" si="1"/>
        <v>1</v>
      </c>
      <c r="AP5" s="44">
        <f t="shared" si="1"/>
        <v>1</v>
      </c>
      <c r="AQ5" s="44">
        <f t="shared" si="1"/>
        <v>1</v>
      </c>
    </row>
    <row r="6" spans="1:43" s="45" customFormat="1" outlineLevel="1" x14ac:dyDescent="0.3">
      <c r="G6" s="42" t="s">
        <v>57</v>
      </c>
      <c r="I6" s="44">
        <f>IF(I3&lt;=Inputs!$H$33,1,0)</f>
        <v>1</v>
      </c>
      <c r="J6" s="44">
        <f>IF(J3&lt;=Inputs!$H$33,1,0)</f>
        <v>1</v>
      </c>
      <c r="K6" s="44">
        <f>IF(K3&lt;=Inputs!$H$33,1,0)</f>
        <v>1</v>
      </c>
      <c r="L6" s="44">
        <f>IF(L3&lt;=Inputs!$H$33,1,0)</f>
        <v>1</v>
      </c>
      <c r="M6" s="44">
        <f>IF(M3&lt;=Inputs!$H$33,1,0)</f>
        <v>1</v>
      </c>
      <c r="N6" s="44">
        <f>IF(N3&lt;=Inputs!$H$33,1,0)</f>
        <v>1</v>
      </c>
      <c r="O6" s="44">
        <f>IF(O3&lt;=Inputs!$H$33,1,0)</f>
        <v>1</v>
      </c>
      <c r="P6" s="44">
        <f>IF(P3&lt;=Inputs!$H$33,1,0)</f>
        <v>1</v>
      </c>
      <c r="Q6" s="44">
        <f>IF(Q3&lt;=Inputs!$H$33,1,0)</f>
        <v>1</v>
      </c>
      <c r="R6" s="44">
        <f>IF(R3&lt;=Inputs!$H$33,1,0)</f>
        <v>1</v>
      </c>
      <c r="S6" s="44">
        <f>IF(S3&lt;=Inputs!$H$33,1,0)</f>
        <v>1</v>
      </c>
      <c r="T6" s="44">
        <f>IF(T3&lt;=Inputs!$H$33,1,0)</f>
        <v>1</v>
      </c>
      <c r="U6" s="44">
        <f>IF(U3&lt;=Inputs!$H$33,1,0)</f>
        <v>1</v>
      </c>
      <c r="V6" s="44">
        <f>IF(V3&lt;=Inputs!$H$33,1,0)</f>
        <v>1</v>
      </c>
      <c r="W6" s="44">
        <f>IF(W3&lt;=Inputs!$H$33,1,0)</f>
        <v>1</v>
      </c>
      <c r="X6" s="44">
        <f>IF(X3&lt;=Inputs!$H$33,1,0)</f>
        <v>0</v>
      </c>
      <c r="Y6" s="44">
        <f>IF(Y3&lt;=Inputs!$H$33,1,0)</f>
        <v>0</v>
      </c>
      <c r="Z6" s="44">
        <f>IF(Z3&lt;=Inputs!$H$33,1,0)</f>
        <v>0</v>
      </c>
      <c r="AA6" s="44">
        <f>IF(AA3&lt;=Inputs!$H$33,1,0)</f>
        <v>0</v>
      </c>
      <c r="AB6" s="44">
        <f>IF(AB3&lt;=Inputs!$H$33,1,0)</f>
        <v>0</v>
      </c>
      <c r="AC6" s="44">
        <f>IF(AC3&lt;=Inputs!$H$33,1,0)</f>
        <v>0</v>
      </c>
      <c r="AD6" s="44">
        <f>IF(AD3&lt;=Inputs!$H$33,1,0)</f>
        <v>0</v>
      </c>
      <c r="AE6" s="44">
        <f>IF(AE3&lt;=Inputs!$H$33,1,0)</f>
        <v>0</v>
      </c>
      <c r="AF6" s="44">
        <f>IF(AF3&lt;=Inputs!$H$33,1,0)</f>
        <v>0</v>
      </c>
      <c r="AG6" s="44">
        <f>IF(AG3&lt;=Inputs!$H$33,1,0)</f>
        <v>0</v>
      </c>
      <c r="AH6" s="44">
        <f>IF(AH3&lt;=Inputs!$H$33,1,0)</f>
        <v>0</v>
      </c>
      <c r="AI6" s="44">
        <f>IF(AI3&lt;=Inputs!$H$33,1,0)</f>
        <v>0</v>
      </c>
      <c r="AJ6" s="44">
        <f>IF(AJ3&lt;=Inputs!$H$33,1,0)</f>
        <v>0</v>
      </c>
      <c r="AK6" s="44">
        <f>IF(AK3&lt;=Inputs!$H$33,1,0)</f>
        <v>0</v>
      </c>
      <c r="AL6" s="44">
        <f>IF(AL3&lt;=Inputs!$H$33,1,0)</f>
        <v>0</v>
      </c>
      <c r="AM6" s="44">
        <f>IF(AM3&lt;=Inputs!$H$33,1,0)</f>
        <v>0</v>
      </c>
      <c r="AN6" s="44">
        <f>IF(AN3&lt;=Inputs!$H$33,1,0)</f>
        <v>0</v>
      </c>
      <c r="AO6" s="44">
        <f>IF(AO3&lt;=Inputs!$H$33,1,0)</f>
        <v>0</v>
      </c>
      <c r="AP6" s="44">
        <f>IF(AP3&lt;=Inputs!$H$33,1,0)</f>
        <v>0</v>
      </c>
      <c r="AQ6" s="44">
        <f>IF(AQ3&lt;=Inputs!$H$33,1,0)</f>
        <v>0</v>
      </c>
    </row>
    <row r="7" spans="1:43" x14ac:dyDescent="0.3"/>
    <row r="8" spans="1:43" s="111" customFormat="1" ht="18" x14ac:dyDescent="0.35">
      <c r="A8" s="108" t="s">
        <v>88</v>
      </c>
      <c r="B8" s="109"/>
      <c r="C8" s="109"/>
      <c r="D8" s="110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</row>
    <row r="9" spans="1:43" outlineLevel="1" x14ac:dyDescent="0.3">
      <c r="B9" s="48" t="s">
        <v>102</v>
      </c>
    </row>
    <row r="10" spans="1:43" outlineLevel="1" x14ac:dyDescent="0.3">
      <c r="C10" s="46" t="s">
        <v>20</v>
      </c>
      <c r="D10" s="49" t="s">
        <v>98</v>
      </c>
      <c r="H10" s="89">
        <f>SUM(I10:AO10)</f>
        <v>246.7410340332965</v>
      </c>
      <c r="I10" s="50">
        <v>1.5</v>
      </c>
      <c r="J10" s="50">
        <v>1.6500000000000001</v>
      </c>
      <c r="K10" s="50">
        <v>1.8150000000000004</v>
      </c>
      <c r="L10" s="50">
        <v>1.9965000000000006</v>
      </c>
      <c r="M10" s="50">
        <v>2.1961500000000007</v>
      </c>
      <c r="N10" s="50">
        <v>2.4157650000000008</v>
      </c>
      <c r="O10" s="50">
        <v>2.6573415000000011</v>
      </c>
      <c r="P10" s="50">
        <v>2.9230756500000017</v>
      </c>
      <c r="Q10" s="50">
        <v>3.2153832150000019</v>
      </c>
      <c r="R10" s="50">
        <v>3.5369215365000022</v>
      </c>
      <c r="S10" s="50">
        <v>3.8906136901500026</v>
      </c>
      <c r="T10" s="50">
        <v>4.2796750591650028</v>
      </c>
      <c r="U10" s="50">
        <v>4.7076425650815032</v>
      </c>
      <c r="V10" s="50">
        <v>5.1784068215896539</v>
      </c>
      <c r="W10" s="50">
        <v>5.6962475037486202</v>
      </c>
      <c r="X10" s="50">
        <v>6.265872254123483</v>
      </c>
      <c r="Y10" s="50">
        <v>6.892459479535832</v>
      </c>
      <c r="Z10" s="50">
        <v>7.5817054274894158</v>
      </c>
      <c r="AA10" s="50">
        <v>8.3398759702383582</v>
      </c>
      <c r="AB10" s="50">
        <v>9.1738635672621953</v>
      </c>
      <c r="AC10" s="50">
        <v>10.091249923988416</v>
      </c>
      <c r="AD10" s="50">
        <v>11.100374916387258</v>
      </c>
      <c r="AE10" s="50">
        <v>12.210412408025984</v>
      </c>
      <c r="AF10" s="50">
        <v>13.431453648828583</v>
      </c>
      <c r="AG10" s="50">
        <v>14.774599013711443</v>
      </c>
      <c r="AH10" s="50">
        <v>16.252058915082589</v>
      </c>
      <c r="AI10" s="50">
        <v>17.877264806590851</v>
      </c>
      <c r="AJ10" s="50">
        <v>19.664991287249936</v>
      </c>
      <c r="AK10" s="50">
        <v>21.63149041597493</v>
      </c>
      <c r="AL10" s="50">
        <v>23.794639457572426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</row>
    <row r="11" spans="1:43" s="107" customFormat="1" outlineLevel="1" x14ac:dyDescent="0.3">
      <c r="C11" s="122" t="s">
        <v>94</v>
      </c>
      <c r="D11" s="123" t="s">
        <v>14</v>
      </c>
      <c r="H11" s="94"/>
      <c r="I11" s="125">
        <v>0.2</v>
      </c>
      <c r="J11" s="125">
        <v>0.32</v>
      </c>
      <c r="K11" s="125">
        <v>0.192</v>
      </c>
      <c r="L11" s="125">
        <v>0.1152</v>
      </c>
      <c r="M11" s="125">
        <v>0.1152</v>
      </c>
      <c r="N11" s="125">
        <v>5.7599999999999998E-2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0</v>
      </c>
      <c r="AI11" s="125">
        <v>0</v>
      </c>
      <c r="AJ11" s="125">
        <v>0</v>
      </c>
      <c r="AK11" s="125">
        <v>0</v>
      </c>
      <c r="AL11" s="125">
        <v>0</v>
      </c>
      <c r="AM11" s="125">
        <v>0</v>
      </c>
      <c r="AN11" s="125">
        <v>0</v>
      </c>
      <c r="AO11" s="125">
        <v>0</v>
      </c>
      <c r="AP11" s="125">
        <v>0</v>
      </c>
      <c r="AQ11" s="125">
        <v>0</v>
      </c>
    </row>
    <row r="12" spans="1:43" outlineLevel="1" x14ac:dyDescent="0.3">
      <c r="C12" s="101" t="s">
        <v>37</v>
      </c>
      <c r="D12" s="102" t="s">
        <v>98</v>
      </c>
      <c r="E12" s="103"/>
      <c r="F12" s="103"/>
      <c r="G12" s="103"/>
      <c r="H12" s="91">
        <f>SUM(I12:AO12)</f>
        <v>-100</v>
      </c>
      <c r="I12" s="124">
        <f>I11*-Inputs!$H$10</f>
        <v>-20</v>
      </c>
      <c r="J12" s="124">
        <f>J11*-Inputs!$H$10</f>
        <v>-32</v>
      </c>
      <c r="K12" s="124">
        <f>K11*-Inputs!$H$10</f>
        <v>-19.2</v>
      </c>
      <c r="L12" s="124">
        <f>L11*-Inputs!$H$10</f>
        <v>-11.52</v>
      </c>
      <c r="M12" s="124">
        <f>M11*-Inputs!$H$10</f>
        <v>-11.52</v>
      </c>
      <c r="N12" s="124">
        <f>N11*-Inputs!$H$10</f>
        <v>-5.76</v>
      </c>
      <c r="O12" s="124">
        <f>O11*-Inputs!$H$10</f>
        <v>0</v>
      </c>
      <c r="P12" s="124">
        <f>P11*-Inputs!$H$10</f>
        <v>0</v>
      </c>
      <c r="Q12" s="124">
        <f>Q11*-Inputs!$H$10</f>
        <v>0</v>
      </c>
      <c r="R12" s="124">
        <f>R11*-Inputs!$H$10</f>
        <v>0</v>
      </c>
      <c r="S12" s="124">
        <f>S11*-Inputs!$H$10</f>
        <v>0</v>
      </c>
      <c r="T12" s="124">
        <f>T11*-Inputs!$H$10</f>
        <v>0</v>
      </c>
      <c r="U12" s="124">
        <f>U11*-Inputs!$H$10</f>
        <v>0</v>
      </c>
      <c r="V12" s="124">
        <f>V11*-Inputs!$H$10</f>
        <v>0</v>
      </c>
      <c r="W12" s="124">
        <f>W11*-Inputs!$H$10</f>
        <v>0</v>
      </c>
      <c r="X12" s="124">
        <f>X11*-Inputs!$H$10</f>
        <v>0</v>
      </c>
      <c r="Y12" s="124">
        <f>Y11*-Inputs!$H$10</f>
        <v>0</v>
      </c>
      <c r="Z12" s="124">
        <f>Z11*-Inputs!$H$10</f>
        <v>0</v>
      </c>
      <c r="AA12" s="124">
        <f>AA11*-Inputs!$H$10</f>
        <v>0</v>
      </c>
      <c r="AB12" s="124">
        <f>AB11*-Inputs!$H$10</f>
        <v>0</v>
      </c>
      <c r="AC12" s="124">
        <f>AC11*-Inputs!$H$10</f>
        <v>0</v>
      </c>
      <c r="AD12" s="124">
        <f>AD11*-Inputs!$H$10</f>
        <v>0</v>
      </c>
      <c r="AE12" s="124">
        <f>AE11*-Inputs!$H$10</f>
        <v>0</v>
      </c>
      <c r="AF12" s="124">
        <f>AF11*-Inputs!$H$10</f>
        <v>0</v>
      </c>
      <c r="AG12" s="124">
        <f>AG11*-Inputs!$H$10</f>
        <v>0</v>
      </c>
      <c r="AH12" s="124">
        <f>AH11*-Inputs!$H$10</f>
        <v>0</v>
      </c>
      <c r="AI12" s="124">
        <f>AI11*-Inputs!$H$10</f>
        <v>0</v>
      </c>
      <c r="AJ12" s="124">
        <f>AJ11*-Inputs!$H$10</f>
        <v>0</v>
      </c>
      <c r="AK12" s="124">
        <f>AK11*-Inputs!$H$10</f>
        <v>0</v>
      </c>
      <c r="AL12" s="124">
        <f>AL11*-Inputs!$H$10</f>
        <v>0</v>
      </c>
      <c r="AM12" s="124">
        <f>AM11*-Inputs!$H$10</f>
        <v>0</v>
      </c>
      <c r="AN12" s="124">
        <f>AN11*-Inputs!$H$10</f>
        <v>0</v>
      </c>
      <c r="AO12" s="124">
        <f>AO11*-Inputs!$H$10</f>
        <v>0</v>
      </c>
      <c r="AP12" s="124">
        <f>AP11*-Inputs!$H$10</f>
        <v>0</v>
      </c>
      <c r="AQ12" s="124">
        <f>AQ11*-Inputs!$H$10</f>
        <v>0</v>
      </c>
    </row>
    <row r="13" spans="1:43" outlineLevel="1" x14ac:dyDescent="0.3">
      <c r="C13" s="98" t="s">
        <v>38</v>
      </c>
      <c r="D13" s="99" t="s">
        <v>98</v>
      </c>
      <c r="E13" s="100"/>
      <c r="F13" s="65"/>
      <c r="G13" s="65"/>
      <c r="H13" s="89">
        <f>SUM(I13:AO13)</f>
        <v>147.7410340332965</v>
      </c>
      <c r="I13" s="53">
        <f>SUM(I10:I12)</f>
        <v>-18.3</v>
      </c>
      <c r="J13" s="53">
        <f t="shared" ref="J13:AQ13" si="2">SUM(J10:J12)</f>
        <v>-30.03</v>
      </c>
      <c r="K13" s="53">
        <f t="shared" si="2"/>
        <v>-17.192999999999998</v>
      </c>
      <c r="L13" s="53">
        <f t="shared" si="2"/>
        <v>-9.4082999999999988</v>
      </c>
      <c r="M13" s="53">
        <f t="shared" si="2"/>
        <v>-9.2086499999999987</v>
      </c>
      <c r="N13" s="53">
        <f t="shared" si="2"/>
        <v>-3.2866349999999991</v>
      </c>
      <c r="O13" s="53">
        <f t="shared" si="2"/>
        <v>2.6573415000000011</v>
      </c>
      <c r="P13" s="53">
        <f t="shared" si="2"/>
        <v>2.9230756500000017</v>
      </c>
      <c r="Q13" s="53">
        <f t="shared" si="2"/>
        <v>3.2153832150000019</v>
      </c>
      <c r="R13" s="53">
        <f t="shared" si="2"/>
        <v>3.5369215365000022</v>
      </c>
      <c r="S13" s="53">
        <f t="shared" si="2"/>
        <v>3.8906136901500026</v>
      </c>
      <c r="T13" s="53">
        <f t="shared" si="2"/>
        <v>4.2796750591650028</v>
      </c>
      <c r="U13" s="53">
        <f t="shared" si="2"/>
        <v>4.7076425650815032</v>
      </c>
      <c r="V13" s="53">
        <f t="shared" si="2"/>
        <v>5.1784068215896539</v>
      </c>
      <c r="W13" s="53">
        <f t="shared" si="2"/>
        <v>5.6962475037486202</v>
      </c>
      <c r="X13" s="53">
        <f t="shared" si="2"/>
        <v>6.265872254123483</v>
      </c>
      <c r="Y13" s="53">
        <f t="shared" si="2"/>
        <v>6.892459479535832</v>
      </c>
      <c r="Z13" s="53">
        <f t="shared" si="2"/>
        <v>7.5817054274894158</v>
      </c>
      <c r="AA13" s="53">
        <f t="shared" si="2"/>
        <v>8.3398759702383582</v>
      </c>
      <c r="AB13" s="53">
        <f t="shared" si="2"/>
        <v>9.1738635672621953</v>
      </c>
      <c r="AC13" s="53">
        <f t="shared" si="2"/>
        <v>10.091249923988416</v>
      </c>
      <c r="AD13" s="53">
        <f t="shared" si="2"/>
        <v>11.100374916387258</v>
      </c>
      <c r="AE13" s="53">
        <f t="shared" si="2"/>
        <v>12.210412408025984</v>
      </c>
      <c r="AF13" s="53">
        <f t="shared" si="2"/>
        <v>13.431453648828583</v>
      </c>
      <c r="AG13" s="53">
        <f t="shared" si="2"/>
        <v>14.774599013711443</v>
      </c>
      <c r="AH13" s="53">
        <f t="shared" si="2"/>
        <v>16.252058915082589</v>
      </c>
      <c r="AI13" s="53">
        <f t="shared" si="2"/>
        <v>17.877264806590851</v>
      </c>
      <c r="AJ13" s="53">
        <f t="shared" si="2"/>
        <v>19.664991287249936</v>
      </c>
      <c r="AK13" s="53">
        <f t="shared" si="2"/>
        <v>21.63149041597493</v>
      </c>
      <c r="AL13" s="53">
        <f t="shared" si="2"/>
        <v>23.794639457572426</v>
      </c>
      <c r="AM13" s="53">
        <f t="shared" si="2"/>
        <v>0</v>
      </c>
      <c r="AN13" s="53">
        <f t="shared" si="2"/>
        <v>0</v>
      </c>
      <c r="AO13" s="53">
        <f t="shared" si="2"/>
        <v>0</v>
      </c>
      <c r="AP13" s="53">
        <f t="shared" si="2"/>
        <v>0</v>
      </c>
      <c r="AQ13" s="53">
        <f t="shared" si="2"/>
        <v>0</v>
      </c>
    </row>
    <row r="14" spans="1:43" outlineLevel="1" x14ac:dyDescent="0.3">
      <c r="C14" s="51" t="s">
        <v>39</v>
      </c>
      <c r="D14" s="49" t="s">
        <v>98</v>
      </c>
      <c r="H14" s="89">
        <f>SUM(I14:AO14)</f>
        <v>21.5</v>
      </c>
      <c r="I14" s="50">
        <v>2</v>
      </c>
      <c r="J14" s="50">
        <v>3</v>
      </c>
      <c r="K14" s="50">
        <v>4</v>
      </c>
      <c r="L14" s="50">
        <v>5</v>
      </c>
      <c r="M14" s="50">
        <v>4</v>
      </c>
      <c r="N14" s="50">
        <v>3.5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</row>
    <row r="15" spans="1:43" x14ac:dyDescent="0.3">
      <c r="H15" s="90"/>
    </row>
    <row r="16" spans="1:43" s="111" customFormat="1" ht="18" x14ac:dyDescent="0.35">
      <c r="A16" s="108" t="s">
        <v>87</v>
      </c>
      <c r="B16" s="109"/>
      <c r="C16" s="109"/>
      <c r="D16" s="110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</row>
    <row r="17" spans="1:43" outlineLevel="1" x14ac:dyDescent="0.3">
      <c r="C17" s="59" t="s">
        <v>28</v>
      </c>
      <c r="H17" s="90"/>
    </row>
    <row r="18" spans="1:43" outlineLevel="1" x14ac:dyDescent="0.3">
      <c r="C18" s="85" t="s">
        <v>89</v>
      </c>
      <c r="D18" s="49" t="s">
        <v>98</v>
      </c>
      <c r="H18" s="90"/>
      <c r="I18" s="75">
        <f>H21</f>
        <v>0</v>
      </c>
      <c r="J18" s="75">
        <f t="shared" ref="J18:AQ18" si="3">I21</f>
        <v>24.704958842648725</v>
      </c>
      <c r="K18" s="75">
        <f t="shared" si="3"/>
        <v>24.430722992543572</v>
      </c>
      <c r="L18" s="75">
        <f t="shared" si="3"/>
        <v>24.046721605396801</v>
      </c>
      <c r="M18" s="75">
        <f t="shared" si="3"/>
        <v>23.539507868943321</v>
      </c>
      <c r="N18" s="75">
        <f t="shared" si="3"/>
        <v>22.894216181934699</v>
      </c>
      <c r="O18" s="75">
        <f t="shared" si="3"/>
        <v>22.094418052008123</v>
      </c>
      <c r="P18" s="75">
        <f t="shared" si="3"/>
        <v>21.121963516645287</v>
      </c>
      <c r="Q18" s="75">
        <f t="shared" si="3"/>
        <v>19.619528677913877</v>
      </c>
      <c r="R18" s="75">
        <f t="shared" si="3"/>
        <v>17.858411419597445</v>
      </c>
      <c r="S18" s="75">
        <f t="shared" si="3"/>
        <v>15.809490331666137</v>
      </c>
      <c r="T18" s="75">
        <f t="shared" si="3"/>
        <v>13.440634268044965</v>
      </c>
      <c r="U18" s="75">
        <f t="shared" si="3"/>
        <v>10.716398445158042</v>
      </c>
      <c r="V18" s="75">
        <f t="shared" si="3"/>
        <v>7.5976900624916848</v>
      </c>
      <c r="W18" s="75">
        <f t="shared" si="3"/>
        <v>4.0414003947432269</v>
      </c>
      <c r="X18" s="75">
        <f t="shared" si="3"/>
        <v>0</v>
      </c>
      <c r="Y18" s="75">
        <f t="shared" si="3"/>
        <v>0</v>
      </c>
      <c r="Z18" s="75">
        <f t="shared" si="3"/>
        <v>0</v>
      </c>
      <c r="AA18" s="75">
        <f t="shared" si="3"/>
        <v>0</v>
      </c>
      <c r="AB18" s="75">
        <f t="shared" si="3"/>
        <v>0</v>
      </c>
      <c r="AC18" s="75">
        <f t="shared" si="3"/>
        <v>0</v>
      </c>
      <c r="AD18" s="75">
        <f t="shared" si="3"/>
        <v>0</v>
      </c>
      <c r="AE18" s="75">
        <f t="shared" si="3"/>
        <v>0</v>
      </c>
      <c r="AF18" s="75">
        <f t="shared" si="3"/>
        <v>0</v>
      </c>
      <c r="AG18" s="75">
        <f t="shared" si="3"/>
        <v>0</v>
      </c>
      <c r="AH18" s="75">
        <f t="shared" si="3"/>
        <v>0</v>
      </c>
      <c r="AI18" s="75">
        <f t="shared" si="3"/>
        <v>0</v>
      </c>
      <c r="AJ18" s="75">
        <f t="shared" si="3"/>
        <v>0</v>
      </c>
      <c r="AK18" s="75">
        <f t="shared" si="3"/>
        <v>0</v>
      </c>
      <c r="AL18" s="75">
        <f t="shared" si="3"/>
        <v>0</v>
      </c>
      <c r="AM18" s="75">
        <f t="shared" si="3"/>
        <v>0</v>
      </c>
      <c r="AN18" s="75">
        <f t="shared" si="3"/>
        <v>0</v>
      </c>
      <c r="AO18" s="75">
        <f t="shared" si="3"/>
        <v>0</v>
      </c>
      <c r="AP18" s="75">
        <f t="shared" si="3"/>
        <v>0</v>
      </c>
      <c r="AQ18" s="75">
        <f t="shared" si="3"/>
        <v>0</v>
      </c>
    </row>
    <row r="19" spans="1:43" outlineLevel="1" x14ac:dyDescent="0.3">
      <c r="C19" s="97" t="s">
        <v>91</v>
      </c>
      <c r="D19" s="49" t="s">
        <v>98</v>
      </c>
      <c r="H19" s="89">
        <f t="shared" ref="H19:H20" si="4">SUM(I19:AO19)</f>
        <v>24.881588122063736</v>
      </c>
      <c r="I19" s="75">
        <f>IF(I3=1,$F53,0)</f>
        <v>24.881588122063736</v>
      </c>
      <c r="J19" s="75">
        <f>IF(J3=1,$F53,0)</f>
        <v>0</v>
      </c>
      <c r="K19" s="75">
        <f>IF(K3=1,$F53,0)</f>
        <v>0</v>
      </c>
      <c r="L19" s="75">
        <f>IF(L3=1,$F53,0)</f>
        <v>0</v>
      </c>
      <c r="M19" s="75">
        <f>IF(M3=1,$F53,0)</f>
        <v>0</v>
      </c>
      <c r="N19" s="75">
        <f>IF(N3=1,$F53,0)</f>
        <v>0</v>
      </c>
      <c r="O19" s="75">
        <f>IF(O3=1,$F53,0)</f>
        <v>0</v>
      </c>
      <c r="P19" s="75">
        <f>IF(P3=1,$F53,0)</f>
        <v>0</v>
      </c>
      <c r="Q19" s="75">
        <f>IF(Q3=1,$F53,0)</f>
        <v>0</v>
      </c>
      <c r="R19" s="75">
        <f>IF(R3=1,$F53,0)</f>
        <v>0</v>
      </c>
      <c r="S19" s="75">
        <f>IF(S3=1,$F53,0)</f>
        <v>0</v>
      </c>
      <c r="T19" s="75">
        <f>IF(T3=1,$F53,0)</f>
        <v>0</v>
      </c>
      <c r="U19" s="75">
        <f>IF(U3=1,$F53,0)</f>
        <v>0</v>
      </c>
      <c r="V19" s="75">
        <f>IF(V3=1,$F53,0)</f>
        <v>0</v>
      </c>
      <c r="W19" s="75">
        <f>IF(W3=1,$F53,0)</f>
        <v>0</v>
      </c>
      <c r="X19" s="75">
        <f>IF(X3=1,$F53,0)</f>
        <v>0</v>
      </c>
      <c r="Y19" s="75">
        <f>IF(Y3=1,$F53,0)</f>
        <v>0</v>
      </c>
      <c r="Z19" s="75">
        <f>IF(Z3=1,$F53,0)</f>
        <v>0</v>
      </c>
      <c r="AA19" s="75">
        <f>IF(AA3=1,$F53,0)</f>
        <v>0</v>
      </c>
      <c r="AB19" s="75">
        <f>IF(AB3=1,$F53,0)</f>
        <v>0</v>
      </c>
      <c r="AC19" s="75">
        <f>IF(AC3=1,$F53,0)</f>
        <v>0</v>
      </c>
      <c r="AD19" s="75">
        <f>IF(AD3=1,$F53,0)</f>
        <v>0</v>
      </c>
      <c r="AE19" s="75">
        <f>IF(AE3=1,$F53,0)</f>
        <v>0</v>
      </c>
      <c r="AF19" s="75">
        <f>IF(AF3=1,$F53,0)</f>
        <v>0</v>
      </c>
      <c r="AG19" s="75">
        <f>IF(AG3=1,$F53,0)</f>
        <v>0</v>
      </c>
      <c r="AH19" s="75">
        <f>IF(AH3=1,$F53,0)</f>
        <v>0</v>
      </c>
      <c r="AI19" s="75">
        <f>IF(AI3=1,$F53,0)</f>
        <v>0</v>
      </c>
      <c r="AJ19" s="75">
        <f>IF(AJ3=1,$F53,0)</f>
        <v>0</v>
      </c>
      <c r="AK19" s="75">
        <f>IF(AK3=1,$F53,0)</f>
        <v>0</v>
      </c>
      <c r="AL19" s="75">
        <f>IF(AL3=1,$F53,0)</f>
        <v>0</v>
      </c>
      <c r="AM19" s="75">
        <f>IF(AM3=1,$F53,0)</f>
        <v>0</v>
      </c>
      <c r="AN19" s="75">
        <f>IF(AN3=1,$F53,0)</f>
        <v>0</v>
      </c>
      <c r="AO19" s="75">
        <f>IF(AO3=1,$F53,0)</f>
        <v>0</v>
      </c>
      <c r="AP19" s="75">
        <f>IF(AP3=1,$F53,0)</f>
        <v>0</v>
      </c>
      <c r="AQ19" s="75">
        <f>IF(AQ3=1,$F53,0)</f>
        <v>0</v>
      </c>
    </row>
    <row r="20" spans="1:43" outlineLevel="1" x14ac:dyDescent="0.3">
      <c r="C20" s="97" t="s">
        <v>90</v>
      </c>
      <c r="D20" s="49" t="s">
        <v>98</v>
      </c>
      <c r="H20" s="89">
        <f t="shared" si="4"/>
        <v>-24.881588122063739</v>
      </c>
      <c r="I20" s="75">
        <f>-MIN(I25,SUM(I18:I19))</f>
        <v>-0.17662927941501105</v>
      </c>
      <c r="J20" s="75">
        <f t="shared" ref="J20:AQ20" si="5">-MIN(J25,SUM(J18:J19))</f>
        <v>-0.27423585010515383</v>
      </c>
      <c r="K20" s="75">
        <f t="shared" si="5"/>
        <v>-0.38400138714677001</v>
      </c>
      <c r="L20" s="75">
        <f t="shared" si="5"/>
        <v>-0.50721373645348111</v>
      </c>
      <c r="M20" s="75">
        <f t="shared" si="5"/>
        <v>-0.64529168700862383</v>
      </c>
      <c r="N20" s="75">
        <f t="shared" si="5"/>
        <v>-0.79979812992657495</v>
      </c>
      <c r="O20" s="75">
        <f t="shared" si="5"/>
        <v>-0.97245453536283399</v>
      </c>
      <c r="P20" s="75">
        <f t="shared" si="5"/>
        <v>-1.5024348387314115</v>
      </c>
      <c r="Q20" s="75">
        <f t="shared" si="5"/>
        <v>-1.7611172583164312</v>
      </c>
      <c r="R20" s="75">
        <f t="shared" si="5"/>
        <v>-2.0489210879313084</v>
      </c>
      <c r="S20" s="75">
        <f t="shared" si="5"/>
        <v>-2.3688560636211715</v>
      </c>
      <c r="T20" s="75">
        <f t="shared" si="5"/>
        <v>-2.7242358228869223</v>
      </c>
      <c r="U20" s="75">
        <f t="shared" si="5"/>
        <v>-3.1187083826663571</v>
      </c>
      <c r="V20" s="75">
        <f t="shared" si="5"/>
        <v>-3.5562896677484579</v>
      </c>
      <c r="W20" s="75">
        <f t="shared" si="5"/>
        <v>-4.0414003947432269</v>
      </c>
      <c r="X20" s="75">
        <f t="shared" si="5"/>
        <v>0</v>
      </c>
      <c r="Y20" s="75">
        <f t="shared" si="5"/>
        <v>0</v>
      </c>
      <c r="Z20" s="75">
        <f t="shared" si="5"/>
        <v>0</v>
      </c>
      <c r="AA20" s="75">
        <f t="shared" si="5"/>
        <v>0</v>
      </c>
      <c r="AB20" s="75">
        <f t="shared" si="5"/>
        <v>0</v>
      </c>
      <c r="AC20" s="75">
        <f t="shared" si="5"/>
        <v>0</v>
      </c>
      <c r="AD20" s="75">
        <f t="shared" si="5"/>
        <v>0</v>
      </c>
      <c r="AE20" s="75">
        <f t="shared" si="5"/>
        <v>0</v>
      </c>
      <c r="AF20" s="75">
        <f t="shared" si="5"/>
        <v>0</v>
      </c>
      <c r="AG20" s="75">
        <f t="shared" si="5"/>
        <v>0</v>
      </c>
      <c r="AH20" s="75">
        <f t="shared" si="5"/>
        <v>0</v>
      </c>
      <c r="AI20" s="75">
        <f t="shared" si="5"/>
        <v>0</v>
      </c>
      <c r="AJ20" s="75">
        <f t="shared" si="5"/>
        <v>0</v>
      </c>
      <c r="AK20" s="75">
        <f t="shared" si="5"/>
        <v>0</v>
      </c>
      <c r="AL20" s="75">
        <f t="shared" si="5"/>
        <v>0</v>
      </c>
      <c r="AM20" s="75">
        <f t="shared" si="5"/>
        <v>0</v>
      </c>
      <c r="AN20" s="75">
        <f t="shared" si="5"/>
        <v>0</v>
      </c>
      <c r="AO20" s="75">
        <f t="shared" si="5"/>
        <v>0</v>
      </c>
      <c r="AP20" s="75">
        <f t="shared" si="5"/>
        <v>0</v>
      </c>
      <c r="AQ20" s="75">
        <f t="shared" si="5"/>
        <v>0</v>
      </c>
    </row>
    <row r="21" spans="1:43" outlineLevel="1" x14ac:dyDescent="0.3">
      <c r="C21" s="121" t="s">
        <v>29</v>
      </c>
      <c r="D21" s="83" t="s">
        <v>98</v>
      </c>
      <c r="E21" s="114"/>
      <c r="F21" s="114"/>
      <c r="G21" s="114"/>
      <c r="H21" s="114"/>
      <c r="I21" s="87">
        <f>SUM(I18:I20)</f>
        <v>24.704958842648725</v>
      </c>
      <c r="J21" s="87">
        <f t="shared" ref="J21:AQ21" si="6">SUM(J18:J20)</f>
        <v>24.430722992543572</v>
      </c>
      <c r="K21" s="87">
        <f t="shared" si="6"/>
        <v>24.046721605396801</v>
      </c>
      <c r="L21" s="87">
        <f t="shared" si="6"/>
        <v>23.539507868943321</v>
      </c>
      <c r="M21" s="87">
        <f t="shared" si="6"/>
        <v>22.894216181934699</v>
      </c>
      <c r="N21" s="87">
        <f t="shared" si="6"/>
        <v>22.094418052008123</v>
      </c>
      <c r="O21" s="87">
        <f t="shared" si="6"/>
        <v>21.121963516645287</v>
      </c>
      <c r="P21" s="87">
        <f t="shared" si="6"/>
        <v>19.619528677913877</v>
      </c>
      <c r="Q21" s="87">
        <f t="shared" si="6"/>
        <v>17.858411419597445</v>
      </c>
      <c r="R21" s="87">
        <f t="shared" si="6"/>
        <v>15.809490331666137</v>
      </c>
      <c r="S21" s="87">
        <f t="shared" si="6"/>
        <v>13.440634268044965</v>
      </c>
      <c r="T21" s="87">
        <f t="shared" si="6"/>
        <v>10.716398445158042</v>
      </c>
      <c r="U21" s="87">
        <f t="shared" si="6"/>
        <v>7.5976900624916848</v>
      </c>
      <c r="V21" s="87">
        <f t="shared" si="6"/>
        <v>4.0414003947432269</v>
      </c>
      <c r="W21" s="87">
        <f t="shared" si="6"/>
        <v>0</v>
      </c>
      <c r="X21" s="87">
        <f t="shared" si="6"/>
        <v>0</v>
      </c>
      <c r="Y21" s="87">
        <f t="shared" si="6"/>
        <v>0</v>
      </c>
      <c r="Z21" s="87">
        <f t="shared" si="6"/>
        <v>0</v>
      </c>
      <c r="AA21" s="87">
        <f t="shared" si="6"/>
        <v>0</v>
      </c>
      <c r="AB21" s="87">
        <f t="shared" si="6"/>
        <v>0</v>
      </c>
      <c r="AC21" s="87">
        <f t="shared" si="6"/>
        <v>0</v>
      </c>
      <c r="AD21" s="87">
        <f t="shared" si="6"/>
        <v>0</v>
      </c>
      <c r="AE21" s="87">
        <f t="shared" si="6"/>
        <v>0</v>
      </c>
      <c r="AF21" s="87">
        <f t="shared" si="6"/>
        <v>0</v>
      </c>
      <c r="AG21" s="87">
        <f t="shared" si="6"/>
        <v>0</v>
      </c>
      <c r="AH21" s="87">
        <f t="shared" si="6"/>
        <v>0</v>
      </c>
      <c r="AI21" s="87">
        <f t="shared" si="6"/>
        <v>0</v>
      </c>
      <c r="AJ21" s="87">
        <f t="shared" si="6"/>
        <v>0</v>
      </c>
      <c r="AK21" s="87">
        <f t="shared" si="6"/>
        <v>0</v>
      </c>
      <c r="AL21" s="87">
        <f t="shared" si="6"/>
        <v>0</v>
      </c>
      <c r="AM21" s="87">
        <f t="shared" si="6"/>
        <v>0</v>
      </c>
      <c r="AN21" s="87">
        <f t="shared" si="6"/>
        <v>0</v>
      </c>
      <c r="AO21" s="87">
        <f t="shared" si="6"/>
        <v>0</v>
      </c>
      <c r="AP21" s="87">
        <f t="shared" si="6"/>
        <v>0</v>
      </c>
      <c r="AQ21" s="87">
        <f t="shared" si="6"/>
        <v>0</v>
      </c>
    </row>
    <row r="22" spans="1:43" s="117" customFormat="1" outlineLevel="1" x14ac:dyDescent="0.3">
      <c r="D22" s="118"/>
      <c r="H22" s="119"/>
    </row>
    <row r="23" spans="1:43" outlineLevel="1" x14ac:dyDescent="0.3">
      <c r="C23" s="85" t="s">
        <v>92</v>
      </c>
      <c r="D23" s="49" t="s">
        <v>98</v>
      </c>
      <c r="H23" s="89">
        <f t="shared" ref="H23:H25" si="7">SUM(I23:AO23)</f>
        <v>33.185517645517734</v>
      </c>
      <c r="I23" s="75">
        <f>-I53</f>
        <v>0.92307692307692313</v>
      </c>
      <c r="J23" s="75">
        <f>-J53</f>
        <v>1.0153846153846156</v>
      </c>
      <c r="K23" s="75">
        <f>-K53</f>
        <v>1.1169230769230771</v>
      </c>
      <c r="L23" s="75">
        <f>-L53</f>
        <v>1.2286153846153851</v>
      </c>
      <c r="M23" s="75">
        <f>-M53</f>
        <v>1.3514769230769235</v>
      </c>
      <c r="N23" s="75">
        <f>-N53</f>
        <v>1.4866246153846159</v>
      </c>
      <c r="O23" s="75">
        <f>-O53</f>
        <v>1.6352870769230776</v>
      </c>
      <c r="P23" s="75">
        <f>-P53</f>
        <v>2.1360937442307701</v>
      </c>
      <c r="Q23" s="75">
        <f>-Q53</f>
        <v>2.3497031186538475</v>
      </c>
      <c r="R23" s="75">
        <f>-R53</f>
        <v>2.5846734305192318</v>
      </c>
      <c r="S23" s="75">
        <f>-S53</f>
        <v>2.8431407735711556</v>
      </c>
      <c r="T23" s="75">
        <f>-T53</f>
        <v>3.1274548509282711</v>
      </c>
      <c r="U23" s="75">
        <f>-U53</f>
        <v>3.4402003360210984</v>
      </c>
      <c r="V23" s="75">
        <f>-V53</f>
        <v>3.7842203696232084</v>
      </c>
      <c r="W23" s="75">
        <f>-W53</f>
        <v>4.1626424065855296</v>
      </c>
      <c r="X23" s="75">
        <f>-X53</f>
        <v>0</v>
      </c>
      <c r="Y23" s="75">
        <f>-Y53</f>
        <v>0</v>
      </c>
      <c r="Z23" s="75">
        <f>-Z53</f>
        <v>0</v>
      </c>
      <c r="AA23" s="75">
        <f>-AA53</f>
        <v>0</v>
      </c>
      <c r="AB23" s="75">
        <f>-AB53</f>
        <v>0</v>
      </c>
      <c r="AC23" s="75">
        <f>-AC53</f>
        <v>0</v>
      </c>
      <c r="AD23" s="75">
        <f>-AD53</f>
        <v>0</v>
      </c>
      <c r="AE23" s="75">
        <f>-AE53</f>
        <v>0</v>
      </c>
      <c r="AF23" s="75">
        <f>-AF53</f>
        <v>0</v>
      </c>
      <c r="AG23" s="75">
        <f>-AG53</f>
        <v>0</v>
      </c>
      <c r="AH23" s="75">
        <f>-AH53</f>
        <v>0</v>
      </c>
      <c r="AI23" s="75">
        <f>-AI53</f>
        <v>0</v>
      </c>
      <c r="AJ23" s="75">
        <f>-AJ53</f>
        <v>0</v>
      </c>
      <c r="AK23" s="75">
        <f>-AK53</f>
        <v>0</v>
      </c>
      <c r="AL23" s="75">
        <f>-AL53</f>
        <v>0</v>
      </c>
      <c r="AM23" s="75">
        <f>-AM53</f>
        <v>0</v>
      </c>
      <c r="AN23" s="75">
        <f>-AN53</f>
        <v>0</v>
      </c>
      <c r="AO23" s="75">
        <f>-AO53</f>
        <v>0</v>
      </c>
      <c r="AP23" s="75">
        <f>-AP53</f>
        <v>0</v>
      </c>
      <c r="AQ23" s="75">
        <f>-AQ53</f>
        <v>0</v>
      </c>
    </row>
    <row r="24" spans="1:43" outlineLevel="1" x14ac:dyDescent="0.3">
      <c r="C24" s="85" t="s">
        <v>30</v>
      </c>
      <c r="D24" s="49" t="s">
        <v>98</v>
      </c>
      <c r="E24" s="104" t="s">
        <v>17</v>
      </c>
      <c r="F24" s="105">
        <f>Inputs!$H$32</f>
        <v>0.03</v>
      </c>
      <c r="H24" s="91">
        <f t="shared" si="7"/>
        <v>-8.3039295234539896</v>
      </c>
      <c r="I24" s="75">
        <f>-SUM(I18:I19)*$F$24</f>
        <v>-0.74644764366191207</v>
      </c>
      <c r="J24" s="75">
        <f>-SUM(J18:J19)*$F$24</f>
        <v>-0.74114876527946172</v>
      </c>
      <c r="K24" s="75">
        <f>-SUM(K18:K19)*$F$24</f>
        <v>-0.73292168977630712</v>
      </c>
      <c r="L24" s="75">
        <f>-SUM(L18:L19)*$F$24</f>
        <v>-0.721401648161904</v>
      </c>
      <c r="M24" s="75">
        <f>-SUM(M18:M19)*$F$24</f>
        <v>-0.70618523606829964</v>
      </c>
      <c r="N24" s="75">
        <f>-SUM(N18:N19)*$F$24</f>
        <v>-0.68682648545804093</v>
      </c>
      <c r="O24" s="75">
        <f>-SUM(O18:O19)*$F$24</f>
        <v>-0.66283254156024363</v>
      </c>
      <c r="P24" s="75">
        <f>-SUM(P18:P19)*$F$24</f>
        <v>-0.63365890549935855</v>
      </c>
      <c r="Q24" s="75">
        <f>-SUM(Q18:Q19)*$F$24</f>
        <v>-0.58858586033741633</v>
      </c>
      <c r="R24" s="75">
        <f>-SUM(R18:R19)*$F$24</f>
        <v>-0.53575234258792337</v>
      </c>
      <c r="S24" s="75">
        <f>-SUM(S18:S19)*$F$24</f>
        <v>-0.47428470994998406</v>
      </c>
      <c r="T24" s="75">
        <f>-SUM(T18:T19)*$F$24</f>
        <v>-0.40321902804134896</v>
      </c>
      <c r="U24" s="75">
        <f>-SUM(U18:U19)*$F$24</f>
        <v>-0.32149195335474123</v>
      </c>
      <c r="V24" s="75">
        <f>-SUM(V18:V19)*$F$24</f>
        <v>-0.22793070187475054</v>
      </c>
      <c r="W24" s="75">
        <f>-SUM(W18:W19)*$F$24</f>
        <v>-0.1212420118422968</v>
      </c>
      <c r="X24" s="75">
        <f>-SUM(X18:X19)*$F$24</f>
        <v>0</v>
      </c>
      <c r="Y24" s="75">
        <f>-SUM(Y18:Y19)*$F$24</f>
        <v>0</v>
      </c>
      <c r="Z24" s="75">
        <f>-SUM(Z18:Z19)*$F$24</f>
        <v>0</v>
      </c>
      <c r="AA24" s="75">
        <f>-SUM(AA18:AA19)*$F$24</f>
        <v>0</v>
      </c>
      <c r="AB24" s="75">
        <f>-SUM(AB18:AB19)*$F$24</f>
        <v>0</v>
      </c>
      <c r="AC24" s="75">
        <f>-SUM(AC18:AC19)*$F$24</f>
        <v>0</v>
      </c>
      <c r="AD24" s="75">
        <f>-SUM(AD18:AD19)*$F$24</f>
        <v>0</v>
      </c>
      <c r="AE24" s="75">
        <f>-SUM(AE18:AE19)*$F$24</f>
        <v>0</v>
      </c>
      <c r="AF24" s="75">
        <f>-SUM(AF18:AF19)*$F$24</f>
        <v>0</v>
      </c>
      <c r="AG24" s="75">
        <f>-SUM(AG18:AG19)*$F$24</f>
        <v>0</v>
      </c>
      <c r="AH24" s="75">
        <f>-SUM(AH18:AH19)*$F$24</f>
        <v>0</v>
      </c>
      <c r="AI24" s="75">
        <f>-SUM(AI18:AI19)*$F$24</f>
        <v>0</v>
      </c>
      <c r="AJ24" s="75">
        <f>-SUM(AJ18:AJ19)*$F$24</f>
        <v>0</v>
      </c>
      <c r="AK24" s="75">
        <f>-SUM(AK18:AK19)*$F$24</f>
        <v>0</v>
      </c>
      <c r="AL24" s="75">
        <f>-SUM(AL18:AL19)*$F$24</f>
        <v>0</v>
      </c>
      <c r="AM24" s="75">
        <f>-SUM(AM18:AM19)*$F$24</f>
        <v>0</v>
      </c>
      <c r="AN24" s="75">
        <f>-SUM(AN18:AN19)*$F$24</f>
        <v>0</v>
      </c>
      <c r="AO24" s="75">
        <f>-SUM(AO18:AO19)*$F$24</f>
        <v>0</v>
      </c>
      <c r="AP24" s="75">
        <f>-SUM(AP18:AP19)*$F$24</f>
        <v>0</v>
      </c>
      <c r="AQ24" s="75">
        <f>-SUM(AQ18:AQ19)*$F$24</f>
        <v>0</v>
      </c>
    </row>
    <row r="25" spans="1:43" outlineLevel="1" x14ac:dyDescent="0.3">
      <c r="C25" s="86" t="s">
        <v>90</v>
      </c>
      <c r="D25" s="83" t="s">
        <v>98</v>
      </c>
      <c r="E25" s="84"/>
      <c r="F25" s="84"/>
      <c r="G25" s="84"/>
      <c r="H25" s="89">
        <f t="shared" si="7"/>
        <v>24.881588122063746</v>
      </c>
      <c r="I25" s="87">
        <f>SUM(I23:I24)*I6</f>
        <v>0.17662927941501105</v>
      </c>
      <c r="J25" s="87">
        <f>SUM(J23:J24)*J6</f>
        <v>0.27423585010515383</v>
      </c>
      <c r="K25" s="87">
        <f>SUM(K23:K24)*K6</f>
        <v>0.38400138714677001</v>
      </c>
      <c r="L25" s="87">
        <f>SUM(L23:L24)*L6</f>
        <v>0.50721373645348111</v>
      </c>
      <c r="M25" s="87">
        <f>SUM(M23:M24)*M6</f>
        <v>0.64529168700862383</v>
      </c>
      <c r="N25" s="87">
        <f>SUM(N23:N24)*N6</f>
        <v>0.79979812992657495</v>
      </c>
      <c r="O25" s="87">
        <f>SUM(O23:O24)*O6</f>
        <v>0.97245453536283399</v>
      </c>
      <c r="P25" s="87">
        <f>SUM(P23:P24)*P6</f>
        <v>1.5024348387314115</v>
      </c>
      <c r="Q25" s="87">
        <f>SUM(Q23:Q24)*Q6</f>
        <v>1.7611172583164312</v>
      </c>
      <c r="R25" s="87">
        <f>SUM(R23:R24)*R6</f>
        <v>2.0489210879313084</v>
      </c>
      <c r="S25" s="87">
        <f>SUM(S23:S24)*S6</f>
        <v>2.3688560636211715</v>
      </c>
      <c r="T25" s="87">
        <f>SUM(T23:T24)*T6</f>
        <v>2.7242358228869223</v>
      </c>
      <c r="U25" s="87">
        <f>SUM(U23:U24)*U6</f>
        <v>3.1187083826663571</v>
      </c>
      <c r="V25" s="87">
        <f>SUM(V23:V24)*V6</f>
        <v>3.5562896677484579</v>
      </c>
      <c r="W25" s="87">
        <f>SUM(W23:W24)*W6</f>
        <v>4.0414003947432331</v>
      </c>
      <c r="X25" s="87">
        <f>SUM(X23:X24)*X6</f>
        <v>0</v>
      </c>
      <c r="Y25" s="87">
        <f>SUM(Y23:Y24)*Y6</f>
        <v>0</v>
      </c>
      <c r="Z25" s="87">
        <f>SUM(Z23:Z24)*Z6</f>
        <v>0</v>
      </c>
      <c r="AA25" s="87">
        <f>SUM(AA23:AA24)*AA6</f>
        <v>0</v>
      </c>
      <c r="AB25" s="87">
        <f>SUM(AB23:AB24)*AB6</f>
        <v>0</v>
      </c>
      <c r="AC25" s="87">
        <f>SUM(AC23:AC24)*AC6</f>
        <v>0</v>
      </c>
      <c r="AD25" s="87">
        <f>SUM(AD23:AD24)*AD6</f>
        <v>0</v>
      </c>
      <c r="AE25" s="87">
        <f>SUM(AE23:AE24)*AE6</f>
        <v>0</v>
      </c>
      <c r="AF25" s="87">
        <f>SUM(AF23:AF24)*AF6</f>
        <v>0</v>
      </c>
      <c r="AG25" s="87">
        <f>SUM(AG23:AG24)*AG6</f>
        <v>0</v>
      </c>
      <c r="AH25" s="87">
        <f>SUM(AH23:AH24)*AH6</f>
        <v>0</v>
      </c>
      <c r="AI25" s="87">
        <f>SUM(AI23:AI24)*AI6</f>
        <v>0</v>
      </c>
      <c r="AJ25" s="87">
        <f>SUM(AJ23:AJ24)*AJ6</f>
        <v>0</v>
      </c>
      <c r="AK25" s="87">
        <f>SUM(AK23:AK24)*AK6</f>
        <v>0</v>
      </c>
      <c r="AL25" s="87">
        <f>SUM(AL23:AL24)*AL6</f>
        <v>0</v>
      </c>
      <c r="AM25" s="87">
        <f>SUM(AM23:AM24)*AM6</f>
        <v>0</v>
      </c>
      <c r="AN25" s="87">
        <f>SUM(AN23:AN24)*AN6</f>
        <v>0</v>
      </c>
      <c r="AO25" s="87">
        <f>SUM(AO23:AO24)*AO6</f>
        <v>0</v>
      </c>
      <c r="AP25" s="87">
        <f>SUM(AP23:AP24)*AP6</f>
        <v>0</v>
      </c>
      <c r="AQ25" s="87">
        <f>SUM(AQ23:AQ24)*AQ6</f>
        <v>0</v>
      </c>
    </row>
    <row r="26" spans="1:43" x14ac:dyDescent="0.3"/>
    <row r="27" spans="1:43" s="111" customFormat="1" ht="18" x14ac:dyDescent="0.35">
      <c r="A27" s="108" t="s">
        <v>45</v>
      </c>
      <c r="B27" s="109"/>
      <c r="C27" s="109"/>
      <c r="D27" s="110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</row>
    <row r="28" spans="1:43" outlineLevel="1" x14ac:dyDescent="0.3">
      <c r="B28" s="48" t="s">
        <v>36</v>
      </c>
      <c r="E28" s="54" t="s">
        <v>22</v>
      </c>
      <c r="F28" s="54" t="s">
        <v>23</v>
      </c>
      <c r="H28" s="90"/>
    </row>
    <row r="29" spans="1:43" outlineLevel="1" x14ac:dyDescent="0.3">
      <c r="C29" s="51" t="s">
        <v>41</v>
      </c>
      <c r="D29" s="49" t="s">
        <v>14</v>
      </c>
      <c r="E29" s="55">
        <f>Inputs!K19</f>
        <v>0.99</v>
      </c>
      <c r="F29" s="55">
        <f>Inputs!K20</f>
        <v>0.05</v>
      </c>
      <c r="H29" s="90"/>
      <c r="I29" s="56">
        <f>IF(I$4=1,$E29,$F29)</f>
        <v>0.99</v>
      </c>
      <c r="J29" s="56">
        <f t="shared" ref="J29:AQ30" si="8">IF(J$4=1,$E29,$F29)</f>
        <v>0.99</v>
      </c>
      <c r="K29" s="56">
        <f t="shared" si="8"/>
        <v>0.99</v>
      </c>
      <c r="L29" s="56">
        <f t="shared" si="8"/>
        <v>0.99</v>
      </c>
      <c r="M29" s="56">
        <f t="shared" si="8"/>
        <v>0.99</v>
      </c>
      <c r="N29" s="56">
        <f t="shared" si="8"/>
        <v>0.99</v>
      </c>
      <c r="O29" s="56">
        <f t="shared" si="8"/>
        <v>0.99</v>
      </c>
      <c r="P29" s="56">
        <f t="shared" si="8"/>
        <v>0.05</v>
      </c>
      <c r="Q29" s="56">
        <f t="shared" si="8"/>
        <v>0.05</v>
      </c>
      <c r="R29" s="56">
        <f t="shared" si="8"/>
        <v>0.05</v>
      </c>
      <c r="S29" s="56">
        <f t="shared" si="8"/>
        <v>0.05</v>
      </c>
      <c r="T29" s="56">
        <f t="shared" si="8"/>
        <v>0.05</v>
      </c>
      <c r="U29" s="56">
        <f t="shared" si="8"/>
        <v>0.05</v>
      </c>
      <c r="V29" s="56">
        <f t="shared" si="8"/>
        <v>0.05</v>
      </c>
      <c r="W29" s="56">
        <f t="shared" si="8"/>
        <v>0.05</v>
      </c>
      <c r="X29" s="56">
        <f t="shared" si="8"/>
        <v>0.05</v>
      </c>
      <c r="Y29" s="56">
        <f t="shared" si="8"/>
        <v>0.05</v>
      </c>
      <c r="Z29" s="56">
        <f t="shared" si="8"/>
        <v>0.05</v>
      </c>
      <c r="AA29" s="56">
        <f t="shared" si="8"/>
        <v>0.05</v>
      </c>
      <c r="AB29" s="56">
        <f t="shared" si="8"/>
        <v>0.05</v>
      </c>
      <c r="AC29" s="56">
        <f t="shared" si="8"/>
        <v>0.05</v>
      </c>
      <c r="AD29" s="56">
        <f t="shared" si="8"/>
        <v>0.05</v>
      </c>
      <c r="AE29" s="56">
        <f t="shared" si="8"/>
        <v>0.05</v>
      </c>
      <c r="AF29" s="56">
        <f t="shared" si="8"/>
        <v>0.05</v>
      </c>
      <c r="AG29" s="56">
        <f t="shared" si="8"/>
        <v>0.05</v>
      </c>
      <c r="AH29" s="56">
        <f t="shared" si="8"/>
        <v>0.05</v>
      </c>
      <c r="AI29" s="56">
        <f t="shared" si="8"/>
        <v>0.05</v>
      </c>
      <c r="AJ29" s="56">
        <f t="shared" si="8"/>
        <v>0.05</v>
      </c>
      <c r="AK29" s="56">
        <f t="shared" si="8"/>
        <v>0.05</v>
      </c>
      <c r="AL29" s="56">
        <f t="shared" si="8"/>
        <v>0.05</v>
      </c>
      <c r="AM29" s="56">
        <f t="shared" si="8"/>
        <v>0.05</v>
      </c>
      <c r="AN29" s="56">
        <f t="shared" si="8"/>
        <v>0.05</v>
      </c>
      <c r="AO29" s="56">
        <f t="shared" si="8"/>
        <v>0.05</v>
      </c>
      <c r="AP29" s="56">
        <f t="shared" si="8"/>
        <v>0.05</v>
      </c>
      <c r="AQ29" s="56">
        <f t="shared" si="8"/>
        <v>0.05</v>
      </c>
    </row>
    <row r="30" spans="1:43" outlineLevel="1" x14ac:dyDescent="0.3">
      <c r="C30" s="51" t="s">
        <v>42</v>
      </c>
      <c r="D30" s="49" t="s">
        <v>14</v>
      </c>
      <c r="E30" s="55">
        <f>Inputs!K21</f>
        <v>0.2</v>
      </c>
      <c r="F30" s="55">
        <f>Inputs!K22</f>
        <v>0.05</v>
      </c>
      <c r="H30" s="90"/>
      <c r="I30" s="56">
        <f>IF(I$4=1,$E30,$F30)</f>
        <v>0.2</v>
      </c>
      <c r="J30" s="56">
        <f t="shared" si="8"/>
        <v>0.2</v>
      </c>
      <c r="K30" s="56">
        <f t="shared" si="8"/>
        <v>0.2</v>
      </c>
      <c r="L30" s="56">
        <f t="shared" si="8"/>
        <v>0.2</v>
      </c>
      <c r="M30" s="56">
        <f t="shared" si="8"/>
        <v>0.2</v>
      </c>
      <c r="N30" s="56">
        <f t="shared" si="8"/>
        <v>0.2</v>
      </c>
      <c r="O30" s="56">
        <f t="shared" si="8"/>
        <v>0.2</v>
      </c>
      <c r="P30" s="56">
        <f t="shared" si="8"/>
        <v>0.05</v>
      </c>
      <c r="Q30" s="56">
        <f t="shared" si="8"/>
        <v>0.05</v>
      </c>
      <c r="R30" s="56">
        <f t="shared" si="8"/>
        <v>0.05</v>
      </c>
      <c r="S30" s="56">
        <f t="shared" si="8"/>
        <v>0.05</v>
      </c>
      <c r="T30" s="56">
        <f t="shared" si="8"/>
        <v>0.05</v>
      </c>
      <c r="U30" s="56">
        <f t="shared" si="8"/>
        <v>0.05</v>
      </c>
      <c r="V30" s="56">
        <f t="shared" si="8"/>
        <v>0.05</v>
      </c>
      <c r="W30" s="56">
        <f t="shared" si="8"/>
        <v>0.05</v>
      </c>
      <c r="X30" s="56">
        <f t="shared" si="8"/>
        <v>0.05</v>
      </c>
      <c r="Y30" s="56">
        <f t="shared" si="8"/>
        <v>0.05</v>
      </c>
      <c r="Z30" s="56">
        <f t="shared" si="8"/>
        <v>0.05</v>
      </c>
      <c r="AA30" s="56">
        <f t="shared" si="8"/>
        <v>0.05</v>
      </c>
      <c r="AB30" s="56">
        <f t="shared" si="8"/>
        <v>0.05</v>
      </c>
      <c r="AC30" s="56">
        <f t="shared" si="8"/>
        <v>0.05</v>
      </c>
      <c r="AD30" s="56">
        <f t="shared" si="8"/>
        <v>0.05</v>
      </c>
      <c r="AE30" s="56">
        <f t="shared" si="8"/>
        <v>0.05</v>
      </c>
      <c r="AF30" s="56">
        <f t="shared" si="8"/>
        <v>0.05</v>
      </c>
      <c r="AG30" s="56">
        <f t="shared" si="8"/>
        <v>0.05</v>
      </c>
      <c r="AH30" s="56">
        <f t="shared" si="8"/>
        <v>0.05</v>
      </c>
      <c r="AI30" s="56">
        <f t="shared" si="8"/>
        <v>0.05</v>
      </c>
      <c r="AJ30" s="56">
        <f t="shared" si="8"/>
        <v>0.05</v>
      </c>
      <c r="AK30" s="56">
        <f t="shared" si="8"/>
        <v>0.05</v>
      </c>
      <c r="AL30" s="56">
        <f t="shared" si="8"/>
        <v>0.05</v>
      </c>
      <c r="AM30" s="56">
        <f t="shared" si="8"/>
        <v>0.05</v>
      </c>
      <c r="AN30" s="56">
        <f t="shared" si="8"/>
        <v>0.05</v>
      </c>
      <c r="AO30" s="56">
        <f t="shared" si="8"/>
        <v>0.05</v>
      </c>
      <c r="AP30" s="56">
        <f t="shared" si="8"/>
        <v>0.05</v>
      </c>
      <c r="AQ30" s="56">
        <f t="shared" si="8"/>
        <v>0.05</v>
      </c>
    </row>
    <row r="31" spans="1:43" outlineLevel="1" x14ac:dyDescent="0.3">
      <c r="H31" s="90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</row>
    <row r="32" spans="1:43" outlineLevel="1" x14ac:dyDescent="0.3">
      <c r="C32" s="51" t="s">
        <v>43</v>
      </c>
      <c r="D32" s="49" t="s">
        <v>14</v>
      </c>
      <c r="E32" s="55">
        <f>Inputs!K24</f>
        <v>1.0000000000000009E-2</v>
      </c>
      <c r="F32" s="55">
        <f>Inputs!K25</f>
        <v>0.95</v>
      </c>
      <c r="H32" s="90"/>
      <c r="I32" s="56">
        <f>IF(I$4=1,$E32,$F32)</f>
        <v>1.0000000000000009E-2</v>
      </c>
      <c r="J32" s="56">
        <f t="shared" ref="J32:AQ33" si="9">IF(J$4=1,$E32,$F32)</f>
        <v>1.0000000000000009E-2</v>
      </c>
      <c r="K32" s="56">
        <f t="shared" si="9"/>
        <v>1.0000000000000009E-2</v>
      </c>
      <c r="L32" s="56">
        <f t="shared" si="9"/>
        <v>1.0000000000000009E-2</v>
      </c>
      <c r="M32" s="56">
        <f t="shared" si="9"/>
        <v>1.0000000000000009E-2</v>
      </c>
      <c r="N32" s="56">
        <f t="shared" si="9"/>
        <v>1.0000000000000009E-2</v>
      </c>
      <c r="O32" s="56">
        <f t="shared" si="9"/>
        <v>1.0000000000000009E-2</v>
      </c>
      <c r="P32" s="56">
        <f t="shared" si="9"/>
        <v>0.95</v>
      </c>
      <c r="Q32" s="56">
        <f t="shared" si="9"/>
        <v>0.95</v>
      </c>
      <c r="R32" s="56">
        <f t="shared" si="9"/>
        <v>0.95</v>
      </c>
      <c r="S32" s="56">
        <f t="shared" si="9"/>
        <v>0.95</v>
      </c>
      <c r="T32" s="56">
        <f t="shared" si="9"/>
        <v>0.95</v>
      </c>
      <c r="U32" s="56">
        <f t="shared" si="9"/>
        <v>0.95</v>
      </c>
      <c r="V32" s="56">
        <f t="shared" si="9"/>
        <v>0.95</v>
      </c>
      <c r="W32" s="56">
        <f t="shared" si="9"/>
        <v>0.95</v>
      </c>
      <c r="X32" s="56">
        <f t="shared" si="9"/>
        <v>0.95</v>
      </c>
      <c r="Y32" s="56">
        <f t="shared" si="9"/>
        <v>0.95</v>
      </c>
      <c r="Z32" s="56">
        <f t="shared" si="9"/>
        <v>0.95</v>
      </c>
      <c r="AA32" s="56">
        <f t="shared" si="9"/>
        <v>0.95</v>
      </c>
      <c r="AB32" s="56">
        <f t="shared" si="9"/>
        <v>0.95</v>
      </c>
      <c r="AC32" s="56">
        <f t="shared" si="9"/>
        <v>0.95</v>
      </c>
      <c r="AD32" s="56">
        <f t="shared" si="9"/>
        <v>0.95</v>
      </c>
      <c r="AE32" s="56">
        <f t="shared" si="9"/>
        <v>0.95</v>
      </c>
      <c r="AF32" s="56">
        <f t="shared" si="9"/>
        <v>0.95</v>
      </c>
      <c r="AG32" s="56">
        <f t="shared" si="9"/>
        <v>0.95</v>
      </c>
      <c r="AH32" s="56">
        <f t="shared" si="9"/>
        <v>0.95</v>
      </c>
      <c r="AI32" s="56">
        <f t="shared" si="9"/>
        <v>0.95</v>
      </c>
      <c r="AJ32" s="56">
        <f t="shared" si="9"/>
        <v>0.95</v>
      </c>
      <c r="AK32" s="56">
        <f t="shared" si="9"/>
        <v>0.95</v>
      </c>
      <c r="AL32" s="56">
        <f t="shared" si="9"/>
        <v>0.95</v>
      </c>
      <c r="AM32" s="56">
        <f t="shared" si="9"/>
        <v>0.95</v>
      </c>
      <c r="AN32" s="56">
        <f t="shared" si="9"/>
        <v>0.95</v>
      </c>
      <c r="AO32" s="56">
        <f t="shared" si="9"/>
        <v>0.95</v>
      </c>
      <c r="AP32" s="56">
        <f t="shared" si="9"/>
        <v>0.95</v>
      </c>
      <c r="AQ32" s="56">
        <f t="shared" si="9"/>
        <v>0.95</v>
      </c>
    </row>
    <row r="33" spans="1:43" outlineLevel="1" x14ac:dyDescent="0.3">
      <c r="C33" s="51" t="s">
        <v>44</v>
      </c>
      <c r="D33" s="49" t="s">
        <v>14</v>
      </c>
      <c r="E33" s="55">
        <f>Inputs!K26</f>
        <v>0.8</v>
      </c>
      <c r="F33" s="55">
        <f>Inputs!K27</f>
        <v>0.95</v>
      </c>
      <c r="H33" s="90"/>
      <c r="I33" s="56">
        <f>IF(I$4=1,$E33,$F33)</f>
        <v>0.8</v>
      </c>
      <c r="J33" s="56">
        <f t="shared" si="9"/>
        <v>0.8</v>
      </c>
      <c r="K33" s="56">
        <f t="shared" si="9"/>
        <v>0.8</v>
      </c>
      <c r="L33" s="56">
        <f t="shared" si="9"/>
        <v>0.8</v>
      </c>
      <c r="M33" s="56">
        <f t="shared" si="9"/>
        <v>0.8</v>
      </c>
      <c r="N33" s="56">
        <f t="shared" si="9"/>
        <v>0.8</v>
      </c>
      <c r="O33" s="56">
        <f t="shared" si="9"/>
        <v>0.8</v>
      </c>
      <c r="P33" s="56">
        <f t="shared" si="9"/>
        <v>0.95</v>
      </c>
      <c r="Q33" s="56">
        <f t="shared" si="9"/>
        <v>0.95</v>
      </c>
      <c r="R33" s="56">
        <f t="shared" si="9"/>
        <v>0.95</v>
      </c>
      <c r="S33" s="56">
        <f t="shared" si="9"/>
        <v>0.95</v>
      </c>
      <c r="T33" s="56">
        <f t="shared" si="9"/>
        <v>0.95</v>
      </c>
      <c r="U33" s="56">
        <f t="shared" si="9"/>
        <v>0.95</v>
      </c>
      <c r="V33" s="56">
        <f t="shared" si="9"/>
        <v>0.95</v>
      </c>
      <c r="W33" s="56">
        <f t="shared" si="9"/>
        <v>0.95</v>
      </c>
      <c r="X33" s="56">
        <f t="shared" si="9"/>
        <v>0.95</v>
      </c>
      <c r="Y33" s="56">
        <f t="shared" si="9"/>
        <v>0.95</v>
      </c>
      <c r="Z33" s="56">
        <f t="shared" si="9"/>
        <v>0.95</v>
      </c>
      <c r="AA33" s="56">
        <f t="shared" si="9"/>
        <v>0.95</v>
      </c>
      <c r="AB33" s="56">
        <f t="shared" si="9"/>
        <v>0.95</v>
      </c>
      <c r="AC33" s="56">
        <f t="shared" si="9"/>
        <v>0.95</v>
      </c>
      <c r="AD33" s="56">
        <f t="shared" si="9"/>
        <v>0.95</v>
      </c>
      <c r="AE33" s="56">
        <f t="shared" si="9"/>
        <v>0.95</v>
      </c>
      <c r="AF33" s="56">
        <f t="shared" si="9"/>
        <v>0.95</v>
      </c>
      <c r="AG33" s="56">
        <f t="shared" si="9"/>
        <v>0.95</v>
      </c>
      <c r="AH33" s="56">
        <f t="shared" si="9"/>
        <v>0.95</v>
      </c>
      <c r="AI33" s="56">
        <f t="shared" si="9"/>
        <v>0.95</v>
      </c>
      <c r="AJ33" s="56">
        <f t="shared" si="9"/>
        <v>0.95</v>
      </c>
      <c r="AK33" s="56">
        <f t="shared" si="9"/>
        <v>0.95</v>
      </c>
      <c r="AL33" s="56">
        <f t="shared" si="9"/>
        <v>0.95</v>
      </c>
      <c r="AM33" s="56">
        <f t="shared" si="9"/>
        <v>0.95</v>
      </c>
      <c r="AN33" s="56">
        <f t="shared" si="9"/>
        <v>0.95</v>
      </c>
      <c r="AO33" s="56">
        <f t="shared" si="9"/>
        <v>0.95</v>
      </c>
      <c r="AP33" s="56">
        <f t="shared" si="9"/>
        <v>0.95</v>
      </c>
      <c r="AQ33" s="56">
        <f t="shared" si="9"/>
        <v>0.95</v>
      </c>
    </row>
    <row r="34" spans="1:43" x14ac:dyDescent="0.3">
      <c r="H34" s="90"/>
    </row>
    <row r="35" spans="1:43" s="111" customFormat="1" ht="18" x14ac:dyDescent="0.35">
      <c r="A35" s="108" t="s">
        <v>46</v>
      </c>
      <c r="B35" s="109"/>
      <c r="C35" s="109"/>
      <c r="D35" s="110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</row>
    <row r="36" spans="1:43" outlineLevel="1" x14ac:dyDescent="0.3">
      <c r="B36" s="48" t="s">
        <v>46</v>
      </c>
      <c r="E36" s="54" t="s">
        <v>24</v>
      </c>
      <c r="H36" s="90"/>
    </row>
    <row r="37" spans="1:43" outlineLevel="1" x14ac:dyDescent="0.3">
      <c r="C37" s="57" t="s">
        <v>40</v>
      </c>
      <c r="D37" s="49" t="s">
        <v>98</v>
      </c>
      <c r="E37" s="55">
        <f>Inputs!$H$14</f>
        <v>0.27</v>
      </c>
      <c r="H37" s="89">
        <f>SUM(I37:AO37)</f>
        <v>19.519930040850497</v>
      </c>
      <c r="I37" s="58">
        <f>-I29*I13*$E$37</f>
        <v>4.8915900000000008</v>
      </c>
      <c r="J37" s="58">
        <f>-J29*J13*$E$37</f>
        <v>8.027019000000001</v>
      </c>
      <c r="K37" s="58">
        <f>-K29*K13*$E$37</f>
        <v>4.5956888999999999</v>
      </c>
      <c r="L37" s="58">
        <f>-L29*L13*$E$37</f>
        <v>2.5148385900000001</v>
      </c>
      <c r="M37" s="58">
        <f>-M29*M13*$E$37</f>
        <v>2.4614721449999997</v>
      </c>
      <c r="N37" s="58">
        <f>-N29*N13*$E$37</f>
        <v>0.87851753549999978</v>
      </c>
      <c r="O37" s="58">
        <f>-O29*O13*$E$37</f>
        <v>-0.71030738295000029</v>
      </c>
      <c r="P37" s="58">
        <f>-P29*P13*$E$37</f>
        <v>-3.9461521275000022E-2</v>
      </c>
      <c r="Q37" s="58">
        <f>-Q29*Q13*$E$37</f>
        <v>-4.3407673402500034E-2</v>
      </c>
      <c r="R37" s="58">
        <f>-R29*R13*$E$37</f>
        <v>-4.7748440742750031E-2</v>
      </c>
      <c r="S37" s="58">
        <f>-S29*S13*$E$37</f>
        <v>-5.2523284817025041E-2</v>
      </c>
      <c r="T37" s="58">
        <f>-T29*T13*$E$37</f>
        <v>-5.7775613298727546E-2</v>
      </c>
      <c r="U37" s="58">
        <f>-U29*U13*$E$37</f>
        <v>-6.3553174628600301E-2</v>
      </c>
      <c r="V37" s="58">
        <f>-V29*V13*$E$37</f>
        <v>-6.9908492091460328E-2</v>
      </c>
      <c r="W37" s="58">
        <f>-W29*W13*$E$37</f>
        <v>-7.6899341300606383E-2</v>
      </c>
      <c r="X37" s="58">
        <f>-X29*X13*$E$37</f>
        <v>-8.4589275430667035E-2</v>
      </c>
      <c r="Y37" s="58">
        <f>-Y29*Y13*$E$37</f>
        <v>-9.3048202973733757E-2</v>
      </c>
      <c r="Z37" s="58">
        <f>-Z29*Z13*$E$37</f>
        <v>-0.10235302327110712</v>
      </c>
      <c r="AA37" s="58">
        <f>-AA29*AA13*$E$37</f>
        <v>-0.11258832559821785</v>
      </c>
      <c r="AB37" s="58">
        <f>-AB29*AB13*$E$37</f>
        <v>-0.12384715815803965</v>
      </c>
      <c r="AC37" s="58">
        <f>-AC29*AC13*$E$37</f>
        <v>-0.13623187397384365</v>
      </c>
      <c r="AD37" s="58">
        <f>-AD29*AD13*$E$37</f>
        <v>-0.149855061371228</v>
      </c>
      <c r="AE37" s="58">
        <f>-AE29*AE13*$E$37</f>
        <v>-0.16484056750835083</v>
      </c>
      <c r="AF37" s="58">
        <f>-AF29*AF13*$E$37</f>
        <v>-0.18132462425918588</v>
      </c>
      <c r="AG37" s="58">
        <f>-AG29*AG13*$E$37</f>
        <v>-0.19945708668510451</v>
      </c>
      <c r="AH37" s="58">
        <f>-AH29*AH13*$E$37</f>
        <v>-0.21940279535361498</v>
      </c>
      <c r="AI37" s="58">
        <f>-AI29*AI13*$E$37</f>
        <v>-0.24134307488897649</v>
      </c>
      <c r="AJ37" s="58">
        <f>-AJ29*AJ13*$E$37</f>
        <v>-0.26547738237787416</v>
      </c>
      <c r="AK37" s="58">
        <f>-AK29*AK13*$E$37</f>
        <v>-0.2920251206156616</v>
      </c>
      <c r="AL37" s="58">
        <f>-AL29*AL13*$E$37</f>
        <v>-0.32122763267722776</v>
      </c>
      <c r="AM37" s="58">
        <f>-AM29*AM13*$E$37</f>
        <v>0</v>
      </c>
      <c r="AN37" s="58">
        <f>-AN29*AN13*$E$37</f>
        <v>0</v>
      </c>
      <c r="AO37" s="58">
        <f>-AO29*AO13*$E$37</f>
        <v>0</v>
      </c>
      <c r="AP37" s="58">
        <f>-AP29*AP13*$E$37</f>
        <v>0</v>
      </c>
      <c r="AQ37" s="58">
        <f>-AQ29*AQ13*$E$37</f>
        <v>0</v>
      </c>
    </row>
    <row r="38" spans="1:43" outlineLevel="1" x14ac:dyDescent="0.3">
      <c r="C38" s="51" t="s">
        <v>47</v>
      </c>
      <c r="D38" s="49" t="s">
        <v>98</v>
      </c>
      <c r="H38" s="89">
        <f>SUM(I38:AO38)</f>
        <v>21.285</v>
      </c>
      <c r="I38" s="58">
        <f>I14*I29</f>
        <v>1.98</v>
      </c>
      <c r="J38" s="58">
        <f>J14*J29</f>
        <v>2.9699999999999998</v>
      </c>
      <c r="K38" s="58">
        <f>K14*K29</f>
        <v>3.96</v>
      </c>
      <c r="L38" s="58">
        <f>L14*L29</f>
        <v>4.95</v>
      </c>
      <c r="M38" s="58">
        <f>M14*M29</f>
        <v>3.96</v>
      </c>
      <c r="N38" s="58">
        <f>N14*N29</f>
        <v>3.4649999999999999</v>
      </c>
      <c r="O38" s="58">
        <f>O14*O29</f>
        <v>0</v>
      </c>
      <c r="P38" s="58">
        <f>P14*P29</f>
        <v>0</v>
      </c>
      <c r="Q38" s="58">
        <f>Q14*Q29</f>
        <v>0</v>
      </c>
      <c r="R38" s="58">
        <f>R14*R29</f>
        <v>0</v>
      </c>
      <c r="S38" s="58">
        <f>S14*S29</f>
        <v>0</v>
      </c>
      <c r="T38" s="58">
        <f>T14*T29</f>
        <v>0</v>
      </c>
      <c r="U38" s="58">
        <f>U14*U29</f>
        <v>0</v>
      </c>
      <c r="V38" s="58">
        <f>V14*V29</f>
        <v>0</v>
      </c>
      <c r="W38" s="58">
        <f>W14*W29</f>
        <v>0</v>
      </c>
      <c r="X38" s="58">
        <f>X14*X29</f>
        <v>0</v>
      </c>
      <c r="Y38" s="58">
        <f>Y14*Y29</f>
        <v>0</v>
      </c>
      <c r="Z38" s="58">
        <f>Z14*Z29</f>
        <v>0</v>
      </c>
      <c r="AA38" s="58">
        <f>AA14*AA29</f>
        <v>0</v>
      </c>
      <c r="AB38" s="58">
        <f>AB14*AB29</f>
        <v>0</v>
      </c>
      <c r="AC38" s="58">
        <f>AC14*AC29</f>
        <v>0</v>
      </c>
      <c r="AD38" s="58">
        <f>AD14*AD29</f>
        <v>0</v>
      </c>
      <c r="AE38" s="58">
        <f>AE14*AE29</f>
        <v>0</v>
      </c>
      <c r="AF38" s="58">
        <f>AF14*AF29</f>
        <v>0</v>
      </c>
      <c r="AG38" s="58">
        <f>AG14*AG29</f>
        <v>0</v>
      </c>
      <c r="AH38" s="58">
        <f>AH14*AH29</f>
        <v>0</v>
      </c>
      <c r="AI38" s="58">
        <f>AI14*AI29</f>
        <v>0</v>
      </c>
      <c r="AJ38" s="58">
        <f>AJ14*AJ29</f>
        <v>0</v>
      </c>
      <c r="AK38" s="58">
        <f>AK14*AK29</f>
        <v>0</v>
      </c>
      <c r="AL38" s="58">
        <f>AL14*AL29</f>
        <v>0</v>
      </c>
      <c r="AM38" s="58">
        <f>AM14*AM29</f>
        <v>0</v>
      </c>
      <c r="AN38" s="58">
        <f>AN14*AN29</f>
        <v>0</v>
      </c>
      <c r="AO38" s="58">
        <f>AO14*AO29</f>
        <v>0</v>
      </c>
      <c r="AP38" s="58">
        <f>AP14*AP29</f>
        <v>0</v>
      </c>
      <c r="AQ38" s="58">
        <f>AQ14*AQ29</f>
        <v>0</v>
      </c>
    </row>
    <row r="39" spans="1:43" outlineLevel="1" x14ac:dyDescent="0.3">
      <c r="C39" s="51" t="s">
        <v>48</v>
      </c>
      <c r="D39" s="49" t="s">
        <v>98</v>
      </c>
      <c r="H39" s="91">
        <f>SUM(I39:AO39)</f>
        <v>14.471665176664825</v>
      </c>
      <c r="I39" s="58">
        <f>I30*I10</f>
        <v>0.30000000000000004</v>
      </c>
      <c r="J39" s="58">
        <f>J30*J10</f>
        <v>0.33000000000000007</v>
      </c>
      <c r="K39" s="58">
        <f>K30*K10</f>
        <v>0.3630000000000001</v>
      </c>
      <c r="L39" s="58">
        <f>L30*L10</f>
        <v>0.39930000000000015</v>
      </c>
      <c r="M39" s="58">
        <f>M30*M10</f>
        <v>0.43923000000000018</v>
      </c>
      <c r="N39" s="58">
        <f>N30*N10</f>
        <v>0.48315300000000017</v>
      </c>
      <c r="O39" s="58">
        <f>O30*O10</f>
        <v>0.53146830000000023</v>
      </c>
      <c r="P39" s="58">
        <f>P30*P10</f>
        <v>0.14615378250000008</v>
      </c>
      <c r="Q39" s="58">
        <f>Q30*Q10</f>
        <v>0.16076916075000011</v>
      </c>
      <c r="R39" s="58">
        <f>R30*R10</f>
        <v>0.17684607682500011</v>
      </c>
      <c r="S39" s="58">
        <f>S30*S10</f>
        <v>0.19453068450750013</v>
      </c>
      <c r="T39" s="58">
        <f>T30*T10</f>
        <v>0.21398375295825015</v>
      </c>
      <c r="U39" s="58">
        <f>U30*U10</f>
        <v>0.23538212825407517</v>
      </c>
      <c r="V39" s="58">
        <f>V30*V10</f>
        <v>0.2589203410794827</v>
      </c>
      <c r="W39" s="58">
        <f>W30*W10</f>
        <v>0.28481237518743102</v>
      </c>
      <c r="X39" s="58">
        <f>X30*X10</f>
        <v>0.31329361270617417</v>
      </c>
      <c r="Y39" s="58">
        <f>Y30*Y10</f>
        <v>0.34462297397679165</v>
      </c>
      <c r="Z39" s="58">
        <f>Z30*Z10</f>
        <v>0.37908527137447079</v>
      </c>
      <c r="AA39" s="58">
        <f>AA30*AA10</f>
        <v>0.41699379851191792</v>
      </c>
      <c r="AB39" s="58">
        <f>AB30*AB10</f>
        <v>0.4586931783631098</v>
      </c>
      <c r="AC39" s="58">
        <f>AC30*AC10</f>
        <v>0.50456249619942084</v>
      </c>
      <c r="AD39" s="58">
        <f>AD30*AD10</f>
        <v>0.55501874581936295</v>
      </c>
      <c r="AE39" s="58">
        <f>AE30*AE10</f>
        <v>0.61052062040129929</v>
      </c>
      <c r="AF39" s="58">
        <f>AF30*AF10</f>
        <v>0.6715726824414292</v>
      </c>
      <c r="AG39" s="58">
        <f>AG30*AG10</f>
        <v>0.73872995068557223</v>
      </c>
      <c r="AH39" s="58">
        <f>AH30*AH10</f>
        <v>0.8126029457541295</v>
      </c>
      <c r="AI39" s="58">
        <f>AI30*AI10</f>
        <v>0.89386324032954256</v>
      </c>
      <c r="AJ39" s="58">
        <f>AJ30*AJ10</f>
        <v>0.98324956436249689</v>
      </c>
      <c r="AK39" s="58">
        <f>AK30*AK10</f>
        <v>1.0815745207987466</v>
      </c>
      <c r="AL39" s="58">
        <f>AL30*AL10</f>
        <v>1.1897319728786213</v>
      </c>
      <c r="AM39" s="58">
        <f>AM30*AM10</f>
        <v>0</v>
      </c>
      <c r="AN39" s="58">
        <f>AN30*AN10</f>
        <v>0</v>
      </c>
      <c r="AO39" s="58">
        <f>AO30*AO10</f>
        <v>0</v>
      </c>
      <c r="AP39" s="58">
        <f>AP30*AP10</f>
        <v>0</v>
      </c>
      <c r="AQ39" s="58">
        <f>AQ30*AQ10</f>
        <v>0</v>
      </c>
    </row>
    <row r="40" spans="1:43" s="59" customFormat="1" outlineLevel="1" x14ac:dyDescent="0.3">
      <c r="C40" s="60" t="s">
        <v>15</v>
      </c>
      <c r="D40" s="61" t="s">
        <v>98</v>
      </c>
      <c r="E40" s="60"/>
      <c r="F40" s="60"/>
      <c r="G40" s="60"/>
      <c r="H40" s="92">
        <f>SUM(I40:AO40)</f>
        <v>55.276595217515322</v>
      </c>
      <c r="I40" s="62">
        <f>SUM(I37:I39)</f>
        <v>7.171590000000001</v>
      </c>
      <c r="J40" s="62">
        <f t="shared" ref="J40:AQ40" si="10">SUM(J37:J39)</f>
        <v>11.327019000000002</v>
      </c>
      <c r="K40" s="62">
        <f t="shared" si="10"/>
        <v>8.9186888999999994</v>
      </c>
      <c r="L40" s="62">
        <f t="shared" si="10"/>
        <v>7.8641385900000005</v>
      </c>
      <c r="M40" s="62">
        <f t="shared" si="10"/>
        <v>6.8607021449999994</v>
      </c>
      <c r="N40" s="62">
        <f t="shared" si="10"/>
        <v>4.8266705354999999</v>
      </c>
      <c r="O40" s="62">
        <f t="shared" si="10"/>
        <v>-0.17883908295000006</v>
      </c>
      <c r="P40" s="62">
        <f t="shared" si="10"/>
        <v>0.10669226122500006</v>
      </c>
      <c r="Q40" s="62">
        <f t="shared" si="10"/>
        <v>0.11736148734750007</v>
      </c>
      <c r="R40" s="62">
        <f t="shared" si="10"/>
        <v>0.12909763608225008</v>
      </c>
      <c r="S40" s="62">
        <f t="shared" si="10"/>
        <v>0.1420073996904751</v>
      </c>
      <c r="T40" s="62">
        <f t="shared" si="10"/>
        <v>0.1562081396595226</v>
      </c>
      <c r="U40" s="62">
        <f t="shared" si="10"/>
        <v>0.17182895362547487</v>
      </c>
      <c r="V40" s="62">
        <f t="shared" si="10"/>
        <v>0.18901184898802237</v>
      </c>
      <c r="W40" s="62">
        <f t="shared" si="10"/>
        <v>0.20791303388682464</v>
      </c>
      <c r="X40" s="62">
        <f t="shared" si="10"/>
        <v>0.22870433727550715</v>
      </c>
      <c r="Y40" s="62">
        <f t="shared" si="10"/>
        <v>0.25157477100305792</v>
      </c>
      <c r="Z40" s="62">
        <f t="shared" si="10"/>
        <v>0.27673224810336366</v>
      </c>
      <c r="AA40" s="62">
        <f t="shared" si="10"/>
        <v>0.30440547291370007</v>
      </c>
      <c r="AB40" s="62">
        <f t="shared" si="10"/>
        <v>0.33484602020507015</v>
      </c>
      <c r="AC40" s="62">
        <f t="shared" si="10"/>
        <v>0.36833062222557722</v>
      </c>
      <c r="AD40" s="62">
        <f t="shared" si="10"/>
        <v>0.40516368444813494</v>
      </c>
      <c r="AE40" s="62">
        <f t="shared" si="10"/>
        <v>0.44568005289294843</v>
      </c>
      <c r="AF40" s="62">
        <f t="shared" si="10"/>
        <v>0.49024805818224332</v>
      </c>
      <c r="AG40" s="62">
        <f t="shared" si="10"/>
        <v>0.5392728640004677</v>
      </c>
      <c r="AH40" s="62">
        <f t="shared" si="10"/>
        <v>0.59320015040051455</v>
      </c>
      <c r="AI40" s="62">
        <f t="shared" si="10"/>
        <v>0.65252016544056612</v>
      </c>
      <c r="AJ40" s="62">
        <f t="shared" si="10"/>
        <v>0.71777218198462278</v>
      </c>
      <c r="AK40" s="62">
        <f t="shared" si="10"/>
        <v>0.78954940018308495</v>
      </c>
      <c r="AL40" s="62">
        <f t="shared" si="10"/>
        <v>0.86850434020139355</v>
      </c>
      <c r="AM40" s="62">
        <f t="shared" si="10"/>
        <v>0</v>
      </c>
      <c r="AN40" s="62">
        <f t="shared" si="10"/>
        <v>0</v>
      </c>
      <c r="AO40" s="62">
        <f t="shared" si="10"/>
        <v>0</v>
      </c>
      <c r="AP40" s="62">
        <f t="shared" si="10"/>
        <v>0</v>
      </c>
      <c r="AQ40" s="62">
        <f t="shared" si="10"/>
        <v>0</v>
      </c>
    </row>
    <row r="41" spans="1:43" ht="8.4" customHeight="1" outlineLevel="1" thickBot="1" x14ac:dyDescent="0.35">
      <c r="C41" s="63"/>
      <c r="D41" s="64"/>
      <c r="E41" s="63"/>
      <c r="F41" s="63"/>
      <c r="G41" s="63"/>
      <c r="H41" s="93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</row>
    <row r="42" spans="1:43" outlineLevel="1" x14ac:dyDescent="0.3">
      <c r="E42" s="66" t="s">
        <v>4</v>
      </c>
      <c r="F42" s="67" t="s">
        <v>5</v>
      </c>
      <c r="H42" s="68" t="s">
        <v>49</v>
      </c>
    </row>
    <row r="43" spans="1:43" ht="15" outlineLevel="1" thickBot="1" x14ac:dyDescent="0.35">
      <c r="C43" s="51" t="s">
        <v>54</v>
      </c>
      <c r="D43" s="49" t="s">
        <v>98</v>
      </c>
      <c r="E43" s="69">
        <f>NPV(Inputs!$H$16,I43:AO43)</f>
        <v>38.452657499083017</v>
      </c>
      <c r="F43" s="70">
        <f>IRR(H43:AO43)</f>
        <v>8.0000000000000071E-2</v>
      </c>
      <c r="H43" s="128">
        <f>-E43</f>
        <v>-38.452657499083017</v>
      </c>
      <c r="I43" s="58">
        <f>I40</f>
        <v>7.171590000000001</v>
      </c>
      <c r="J43" s="58">
        <f>J40</f>
        <v>11.327019000000002</v>
      </c>
      <c r="K43" s="58">
        <f>K40</f>
        <v>8.9186888999999994</v>
      </c>
      <c r="L43" s="58">
        <f>L40</f>
        <v>7.8641385900000005</v>
      </c>
      <c r="M43" s="58">
        <f>M40</f>
        <v>6.8607021449999994</v>
      </c>
      <c r="N43" s="58">
        <f>N40</f>
        <v>4.8266705354999999</v>
      </c>
      <c r="O43" s="58">
        <f>O40</f>
        <v>-0.17883908295000006</v>
      </c>
      <c r="P43" s="58">
        <f>P40</f>
        <v>0.10669226122500006</v>
      </c>
      <c r="Q43" s="58">
        <f>Q40</f>
        <v>0.11736148734750007</v>
      </c>
      <c r="R43" s="58">
        <f>R40</f>
        <v>0.12909763608225008</v>
      </c>
      <c r="S43" s="58">
        <f>S40</f>
        <v>0.1420073996904751</v>
      </c>
      <c r="T43" s="58">
        <f>T40</f>
        <v>0.1562081396595226</v>
      </c>
      <c r="U43" s="58">
        <f>U40</f>
        <v>0.17182895362547487</v>
      </c>
      <c r="V43" s="58">
        <f>V40</f>
        <v>0.18901184898802237</v>
      </c>
      <c r="W43" s="58">
        <f>W40</f>
        <v>0.20791303388682464</v>
      </c>
      <c r="X43" s="58">
        <f>X40</f>
        <v>0.22870433727550715</v>
      </c>
      <c r="Y43" s="58">
        <f>Y40</f>
        <v>0.25157477100305792</v>
      </c>
      <c r="Z43" s="58">
        <f>Z40</f>
        <v>0.27673224810336366</v>
      </c>
      <c r="AA43" s="58">
        <f>AA40</f>
        <v>0.30440547291370007</v>
      </c>
      <c r="AB43" s="58">
        <f>AB40</f>
        <v>0.33484602020507015</v>
      </c>
      <c r="AC43" s="58">
        <f>AC40</f>
        <v>0.36833062222557722</v>
      </c>
      <c r="AD43" s="58">
        <f>AD40</f>
        <v>0.40516368444813494</v>
      </c>
      <c r="AE43" s="58">
        <f>AE40</f>
        <v>0.44568005289294843</v>
      </c>
      <c r="AF43" s="58">
        <f>AF40</f>
        <v>0.49024805818224332</v>
      </c>
      <c r="AG43" s="58">
        <f>AG40</f>
        <v>0.5392728640004677</v>
      </c>
      <c r="AH43" s="58">
        <f>AH40</f>
        <v>0.59320015040051455</v>
      </c>
      <c r="AI43" s="58">
        <f>AI40</f>
        <v>0.65252016544056612</v>
      </c>
      <c r="AJ43" s="58">
        <f>AJ40</f>
        <v>0.71777218198462278</v>
      </c>
      <c r="AK43" s="58">
        <f>AK40</f>
        <v>0.78954940018308495</v>
      </c>
      <c r="AL43" s="58">
        <f>AL40</f>
        <v>0.86850434020139355</v>
      </c>
      <c r="AM43" s="58">
        <f>AM40</f>
        <v>0</v>
      </c>
      <c r="AN43" s="58">
        <f>AN40</f>
        <v>0</v>
      </c>
      <c r="AO43" s="58">
        <f>AO40</f>
        <v>0</v>
      </c>
      <c r="AP43" s="58">
        <f>AP40</f>
        <v>0</v>
      </c>
      <c r="AQ43" s="58">
        <f>AQ40</f>
        <v>0</v>
      </c>
    </row>
    <row r="44" spans="1:43" outlineLevel="1" x14ac:dyDescent="0.3">
      <c r="H44" s="90"/>
    </row>
    <row r="45" spans="1:43" outlineLevel="1" x14ac:dyDescent="0.3">
      <c r="B45" s="48" t="s">
        <v>55</v>
      </c>
      <c r="H45" s="90"/>
    </row>
    <row r="46" spans="1:43" ht="13.65" customHeight="1" outlineLevel="1" x14ac:dyDescent="0.3">
      <c r="B46" s="48"/>
      <c r="C46" s="51" t="s">
        <v>50</v>
      </c>
      <c r="D46" s="49" t="s">
        <v>98</v>
      </c>
      <c r="H46" s="89">
        <f>SUM(I46:AO46)</f>
        <v>220.03707122163166</v>
      </c>
      <c r="I46" s="58">
        <f>I13*I32</f>
        <v>-0.18300000000000016</v>
      </c>
      <c r="J46" s="58">
        <f>J13*J32</f>
        <v>-0.30030000000000029</v>
      </c>
      <c r="K46" s="58">
        <f>K13*K32</f>
        <v>-0.17193000000000014</v>
      </c>
      <c r="L46" s="58">
        <f>L13*L32</f>
        <v>-9.4083000000000069E-2</v>
      </c>
      <c r="M46" s="58">
        <f>M13*M32</f>
        <v>-9.2086500000000071E-2</v>
      </c>
      <c r="N46" s="58">
        <f>N13*N32</f>
        <v>-3.2866350000000023E-2</v>
      </c>
      <c r="O46" s="58">
        <f>O13*O32</f>
        <v>2.6573415000000034E-2</v>
      </c>
      <c r="P46" s="58">
        <f>P13*P32</f>
        <v>2.7769218675000014</v>
      </c>
      <c r="Q46" s="58">
        <f>Q13*Q32</f>
        <v>3.0546140542500018</v>
      </c>
      <c r="R46" s="58">
        <f>R13*R32</f>
        <v>3.3600754596750018</v>
      </c>
      <c r="S46" s="58">
        <f>S13*S32</f>
        <v>3.6960830056425023</v>
      </c>
      <c r="T46" s="58">
        <f>T13*T32</f>
        <v>4.0656913062067526</v>
      </c>
      <c r="U46" s="58">
        <f>U13*U32</f>
        <v>4.4722604368274279</v>
      </c>
      <c r="V46" s="58">
        <f>V13*V32</f>
        <v>4.9194864805101712</v>
      </c>
      <c r="W46" s="58">
        <f>W13*W32</f>
        <v>5.4114351285611892</v>
      </c>
      <c r="X46" s="58">
        <f>X13*X32</f>
        <v>5.9525786414173085</v>
      </c>
      <c r="Y46" s="58">
        <f>Y13*Y32</f>
        <v>6.5478365055590402</v>
      </c>
      <c r="Z46" s="58">
        <f>Z13*Z32</f>
        <v>7.2026201561149445</v>
      </c>
      <c r="AA46" s="58">
        <f>AA13*AA32</f>
        <v>7.9228821717264397</v>
      </c>
      <c r="AB46" s="58">
        <f>AB13*AB32</f>
        <v>8.7151703888990859</v>
      </c>
      <c r="AC46" s="58">
        <f>AC13*AC32</f>
        <v>9.5866874277889949</v>
      </c>
      <c r="AD46" s="58">
        <f>AD13*AD32</f>
        <v>10.545356170567894</v>
      </c>
      <c r="AE46" s="58">
        <f>AE13*AE32</f>
        <v>11.599891787624685</v>
      </c>
      <c r="AF46" s="58">
        <f>AF13*AF32</f>
        <v>12.759880966387154</v>
      </c>
      <c r="AG46" s="58">
        <f>AG13*AG32</f>
        <v>14.035869063025871</v>
      </c>
      <c r="AH46" s="58">
        <f>AH13*AH32</f>
        <v>15.439455969328458</v>
      </c>
      <c r="AI46" s="58">
        <f>AI13*AI32</f>
        <v>16.983401566261307</v>
      </c>
      <c r="AJ46" s="58">
        <f>AJ13*AJ32</f>
        <v>18.681741722887438</v>
      </c>
      <c r="AK46" s="58">
        <f>AK13*AK32</f>
        <v>20.549915895176184</v>
      </c>
      <c r="AL46" s="58">
        <f>AL13*AL32</f>
        <v>22.604907484693804</v>
      </c>
      <c r="AM46" s="58">
        <f>AM13*AM32</f>
        <v>0</v>
      </c>
      <c r="AN46" s="58">
        <f>AN13*AN32</f>
        <v>0</v>
      </c>
      <c r="AO46" s="58">
        <f>AO13*AO32</f>
        <v>0</v>
      </c>
      <c r="AP46" s="58">
        <f>AP13*AP32</f>
        <v>0</v>
      </c>
      <c r="AQ46" s="58">
        <f>AQ13*AQ32</f>
        <v>0</v>
      </c>
    </row>
    <row r="47" spans="1:43" ht="13.65" customHeight="1" outlineLevel="1" x14ac:dyDescent="0.3">
      <c r="B47" s="48"/>
      <c r="C47" s="51" t="s">
        <v>51</v>
      </c>
      <c r="D47" s="49" t="s">
        <v>98</v>
      </c>
      <c r="H47" s="89">
        <f>SUM(I47:AO47)</f>
        <v>0.21500000000000019</v>
      </c>
      <c r="I47" s="58">
        <f>I32*I14</f>
        <v>2.0000000000000018E-2</v>
      </c>
      <c r="J47" s="58">
        <f>J32*J14</f>
        <v>3.0000000000000027E-2</v>
      </c>
      <c r="K47" s="58">
        <f>K32*K14</f>
        <v>4.0000000000000036E-2</v>
      </c>
      <c r="L47" s="58">
        <f>L32*L14</f>
        <v>5.0000000000000044E-2</v>
      </c>
      <c r="M47" s="58">
        <f>M32*M14</f>
        <v>4.0000000000000036E-2</v>
      </c>
      <c r="N47" s="58">
        <f>N32*N14</f>
        <v>3.5000000000000031E-2</v>
      </c>
      <c r="O47" s="58">
        <f>O32*O14</f>
        <v>0</v>
      </c>
      <c r="P47" s="58">
        <f>P32*P14</f>
        <v>0</v>
      </c>
      <c r="Q47" s="58">
        <f>Q32*Q14</f>
        <v>0</v>
      </c>
      <c r="R47" s="58">
        <f>R32*R14</f>
        <v>0</v>
      </c>
      <c r="S47" s="58">
        <f>S32*S14</f>
        <v>0</v>
      </c>
      <c r="T47" s="58">
        <f>T32*T14</f>
        <v>0</v>
      </c>
      <c r="U47" s="58">
        <f>U32*U14</f>
        <v>0</v>
      </c>
      <c r="V47" s="58">
        <f>V32*V14</f>
        <v>0</v>
      </c>
      <c r="W47" s="58">
        <f>W32*W14</f>
        <v>0</v>
      </c>
      <c r="X47" s="58">
        <f>X32*X14</f>
        <v>0</v>
      </c>
      <c r="Y47" s="58">
        <f>Y32*Y14</f>
        <v>0</v>
      </c>
      <c r="Z47" s="58">
        <f>Z32*Z14</f>
        <v>0</v>
      </c>
      <c r="AA47" s="58">
        <f>AA32*AA14</f>
        <v>0</v>
      </c>
      <c r="AB47" s="58">
        <f>AB32*AB14</f>
        <v>0</v>
      </c>
      <c r="AC47" s="58">
        <f>AC32*AC14</f>
        <v>0</v>
      </c>
      <c r="AD47" s="58">
        <f>AD32*AD14</f>
        <v>0</v>
      </c>
      <c r="AE47" s="58">
        <f>AE32*AE14</f>
        <v>0</v>
      </c>
      <c r="AF47" s="58">
        <f>AF32*AF14</f>
        <v>0</v>
      </c>
      <c r="AG47" s="58">
        <f>AG32*AG14</f>
        <v>0</v>
      </c>
      <c r="AH47" s="58">
        <f>AH32*AH14</f>
        <v>0</v>
      </c>
      <c r="AI47" s="58">
        <f>AI32*AI14</f>
        <v>0</v>
      </c>
      <c r="AJ47" s="58">
        <f>AJ32*AJ14</f>
        <v>0</v>
      </c>
      <c r="AK47" s="58">
        <f>AK32*AK14</f>
        <v>0</v>
      </c>
      <c r="AL47" s="58">
        <f>AL32*AL14</f>
        <v>0</v>
      </c>
      <c r="AM47" s="58">
        <f>AM32*AM14</f>
        <v>0</v>
      </c>
      <c r="AN47" s="58">
        <f>AN32*AN14</f>
        <v>0</v>
      </c>
      <c r="AO47" s="58">
        <f>AO32*AO14</f>
        <v>0</v>
      </c>
      <c r="AP47" s="58">
        <f>AP32*AP14</f>
        <v>0</v>
      </c>
      <c r="AQ47" s="58">
        <f>AQ32*AQ14</f>
        <v>0</v>
      </c>
    </row>
    <row r="48" spans="1:43" ht="13.65" customHeight="1" outlineLevel="1" x14ac:dyDescent="0.3">
      <c r="B48" s="48"/>
      <c r="C48" s="51" t="s">
        <v>52</v>
      </c>
      <c r="D48" s="49" t="s">
        <v>98</v>
      </c>
      <c r="H48" s="89">
        <f>SUM(I48:AO48)</f>
        <v>232.26936885663167</v>
      </c>
      <c r="I48" s="58">
        <f>I33*I10</f>
        <v>1.2000000000000002</v>
      </c>
      <c r="J48" s="58">
        <f>J33*J10</f>
        <v>1.3200000000000003</v>
      </c>
      <c r="K48" s="58">
        <f>K33*K10</f>
        <v>1.4520000000000004</v>
      </c>
      <c r="L48" s="58">
        <f>L33*L10</f>
        <v>1.5972000000000006</v>
      </c>
      <c r="M48" s="58">
        <f>M33*M10</f>
        <v>1.7569200000000007</v>
      </c>
      <c r="N48" s="58">
        <f>N33*N10</f>
        <v>1.9326120000000007</v>
      </c>
      <c r="O48" s="58">
        <f>O33*O10</f>
        <v>2.1258732000000009</v>
      </c>
      <c r="P48" s="58">
        <f>P33*P10</f>
        <v>2.7769218675000014</v>
      </c>
      <c r="Q48" s="58">
        <f>Q33*Q10</f>
        <v>3.0546140542500018</v>
      </c>
      <c r="R48" s="58">
        <f>R33*R10</f>
        <v>3.3600754596750018</v>
      </c>
      <c r="S48" s="58">
        <f>S33*S10</f>
        <v>3.6960830056425023</v>
      </c>
      <c r="T48" s="58">
        <f>T33*T10</f>
        <v>4.0656913062067526</v>
      </c>
      <c r="U48" s="58">
        <f>U33*U10</f>
        <v>4.4722604368274279</v>
      </c>
      <c r="V48" s="58">
        <f>V33*V10</f>
        <v>4.9194864805101712</v>
      </c>
      <c r="W48" s="58">
        <f>W33*W10</f>
        <v>5.4114351285611892</v>
      </c>
      <c r="X48" s="58">
        <f>X33*X10</f>
        <v>5.9525786414173085</v>
      </c>
      <c r="Y48" s="58">
        <f>Y33*Y10</f>
        <v>6.5478365055590402</v>
      </c>
      <c r="Z48" s="58">
        <f>Z33*Z10</f>
        <v>7.2026201561149445</v>
      </c>
      <c r="AA48" s="58">
        <f>AA33*AA10</f>
        <v>7.9228821717264397</v>
      </c>
      <c r="AB48" s="58">
        <f>AB33*AB10</f>
        <v>8.7151703888990859</v>
      </c>
      <c r="AC48" s="58">
        <f>AC33*AC10</f>
        <v>9.5866874277889949</v>
      </c>
      <c r="AD48" s="58">
        <f>AD33*AD10</f>
        <v>10.545356170567894</v>
      </c>
      <c r="AE48" s="58">
        <f>AE33*AE10</f>
        <v>11.599891787624685</v>
      </c>
      <c r="AF48" s="58">
        <f>AF33*AF10</f>
        <v>12.759880966387154</v>
      </c>
      <c r="AG48" s="58">
        <f>AG33*AG10</f>
        <v>14.035869063025871</v>
      </c>
      <c r="AH48" s="58">
        <f>AH33*AH10</f>
        <v>15.439455969328458</v>
      </c>
      <c r="AI48" s="58">
        <f>AI33*AI10</f>
        <v>16.983401566261307</v>
      </c>
      <c r="AJ48" s="58">
        <f>AJ33*AJ10</f>
        <v>18.681741722887438</v>
      </c>
      <c r="AK48" s="58">
        <f>AK33*AK10</f>
        <v>20.549915895176184</v>
      </c>
      <c r="AL48" s="58">
        <f>AL33*AL10</f>
        <v>22.604907484693804</v>
      </c>
      <c r="AM48" s="58">
        <f>AM33*AM10</f>
        <v>0</v>
      </c>
      <c r="AN48" s="58">
        <f>AN33*AN10</f>
        <v>0</v>
      </c>
      <c r="AO48" s="58">
        <f>AO33*AO10</f>
        <v>0</v>
      </c>
      <c r="AP48" s="58">
        <f>AP33*AP10</f>
        <v>0</v>
      </c>
      <c r="AQ48" s="58">
        <f>AQ33*AQ10</f>
        <v>0</v>
      </c>
    </row>
    <row r="49" spans="1:43" ht="13.2" customHeight="1" x14ac:dyDescent="0.3">
      <c r="B49" s="48"/>
      <c r="C49" s="51"/>
      <c r="D49" s="49"/>
      <c r="H49" s="94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</row>
    <row r="50" spans="1:43" s="111" customFormat="1" ht="18" x14ac:dyDescent="0.35">
      <c r="A50" s="108" t="s">
        <v>53</v>
      </c>
      <c r="B50" s="109"/>
      <c r="C50" s="109"/>
      <c r="D50" s="110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</row>
    <row r="51" spans="1:43" outlineLevel="1" x14ac:dyDescent="0.3">
      <c r="B51" s="48" t="s">
        <v>64</v>
      </c>
      <c r="H51" s="90"/>
    </row>
    <row r="52" spans="1:43" outlineLevel="1" x14ac:dyDescent="0.3">
      <c r="C52" s="51" t="s">
        <v>59</v>
      </c>
      <c r="D52" s="49" t="s">
        <v>98</v>
      </c>
      <c r="E52" s="54" t="s">
        <v>25</v>
      </c>
      <c r="F52" s="54" t="s">
        <v>61</v>
      </c>
      <c r="H52" s="89">
        <f>SUM(I52:AO52)</f>
        <v>232.26936885663167</v>
      </c>
      <c r="I52" s="58">
        <f>I48</f>
        <v>1.2000000000000002</v>
      </c>
      <c r="J52" s="58">
        <f>J48</f>
        <v>1.3200000000000003</v>
      </c>
      <c r="K52" s="58">
        <f>K48</f>
        <v>1.4520000000000004</v>
      </c>
      <c r="L52" s="58">
        <f>L48</f>
        <v>1.5972000000000006</v>
      </c>
      <c r="M52" s="58">
        <f>M48</f>
        <v>1.7569200000000007</v>
      </c>
      <c r="N52" s="58">
        <f>N48</f>
        <v>1.9326120000000007</v>
      </c>
      <c r="O52" s="58">
        <f>O48</f>
        <v>2.1258732000000009</v>
      </c>
      <c r="P52" s="58">
        <f>P48</f>
        <v>2.7769218675000014</v>
      </c>
      <c r="Q52" s="58">
        <f>Q48</f>
        <v>3.0546140542500018</v>
      </c>
      <c r="R52" s="58">
        <f>R48</f>
        <v>3.3600754596750018</v>
      </c>
      <c r="S52" s="58">
        <f>S48</f>
        <v>3.6960830056425023</v>
      </c>
      <c r="T52" s="58">
        <f>T48</f>
        <v>4.0656913062067526</v>
      </c>
      <c r="U52" s="58">
        <f>U48</f>
        <v>4.4722604368274279</v>
      </c>
      <c r="V52" s="58">
        <f>V48</f>
        <v>4.9194864805101712</v>
      </c>
      <c r="W52" s="58">
        <f>W48</f>
        <v>5.4114351285611892</v>
      </c>
      <c r="X52" s="58">
        <f>X48</f>
        <v>5.9525786414173085</v>
      </c>
      <c r="Y52" s="58">
        <f>Y48</f>
        <v>6.5478365055590402</v>
      </c>
      <c r="Z52" s="58">
        <f>Z48</f>
        <v>7.2026201561149445</v>
      </c>
      <c r="AA52" s="58">
        <f>AA48</f>
        <v>7.9228821717264397</v>
      </c>
      <c r="AB52" s="58">
        <f>AB48</f>
        <v>8.7151703888990859</v>
      </c>
      <c r="AC52" s="58">
        <f>AC48</f>
        <v>9.5866874277889949</v>
      </c>
      <c r="AD52" s="58">
        <f>AD48</f>
        <v>10.545356170567894</v>
      </c>
      <c r="AE52" s="58">
        <f>AE48</f>
        <v>11.599891787624685</v>
      </c>
      <c r="AF52" s="58">
        <f>AF48</f>
        <v>12.759880966387154</v>
      </c>
      <c r="AG52" s="58">
        <f>AG48</f>
        <v>14.035869063025871</v>
      </c>
      <c r="AH52" s="58">
        <f>AH48</f>
        <v>15.439455969328458</v>
      </c>
      <c r="AI52" s="58">
        <f>AI48</f>
        <v>16.983401566261307</v>
      </c>
      <c r="AJ52" s="58">
        <f>AJ48</f>
        <v>18.681741722887438</v>
      </c>
      <c r="AK52" s="58">
        <f>AK48</f>
        <v>20.549915895176184</v>
      </c>
      <c r="AL52" s="58">
        <f>AL48</f>
        <v>22.604907484693804</v>
      </c>
      <c r="AM52" s="58">
        <f>AM48</f>
        <v>0</v>
      </c>
      <c r="AN52" s="58">
        <f>AN48</f>
        <v>0</v>
      </c>
      <c r="AO52" s="58">
        <f>AO48</f>
        <v>0</v>
      </c>
      <c r="AP52" s="58">
        <f>AP48</f>
        <v>0</v>
      </c>
      <c r="AQ52" s="58">
        <f>AQ48</f>
        <v>0</v>
      </c>
    </row>
    <row r="53" spans="1:43" outlineLevel="1" x14ac:dyDescent="0.3">
      <c r="B53" s="48"/>
      <c r="C53" s="51" t="s">
        <v>60</v>
      </c>
      <c r="D53" s="49" t="s">
        <v>98</v>
      </c>
      <c r="E53" s="71">
        <v>1.3</v>
      </c>
      <c r="F53" s="72">
        <f>-NPV(Inputs!$H$32,I53:AO53)</f>
        <v>24.881588122063736</v>
      </c>
      <c r="G53" s="73"/>
      <c r="H53" s="91">
        <f>SUM(I53:AO53)</f>
        <v>-33.185517645517734</v>
      </c>
      <c r="I53" s="58">
        <f>-I52/$E$53*I6</f>
        <v>-0.92307692307692313</v>
      </c>
      <c r="J53" s="58">
        <f>-J52/$E$53*J6</f>
        <v>-1.0153846153846156</v>
      </c>
      <c r="K53" s="58">
        <f>-K52/$E$53*K6</f>
        <v>-1.1169230769230771</v>
      </c>
      <c r="L53" s="58">
        <f>-L52/$E$53*L6</f>
        <v>-1.2286153846153851</v>
      </c>
      <c r="M53" s="58">
        <f>-M52/$E$53*M6</f>
        <v>-1.3514769230769235</v>
      </c>
      <c r="N53" s="58">
        <f>-N52/$E$53*N6</f>
        <v>-1.4866246153846159</v>
      </c>
      <c r="O53" s="58">
        <f>-O52/$E$53*O6</f>
        <v>-1.6352870769230776</v>
      </c>
      <c r="P53" s="58">
        <f>-P52/$E$53*P6</f>
        <v>-2.1360937442307701</v>
      </c>
      <c r="Q53" s="58">
        <f>-Q52/$E$53*Q6</f>
        <v>-2.3497031186538475</v>
      </c>
      <c r="R53" s="58">
        <f>-R52/$E$53*R6</f>
        <v>-2.5846734305192318</v>
      </c>
      <c r="S53" s="58">
        <f>-S52/$E$53*S6</f>
        <v>-2.8431407735711556</v>
      </c>
      <c r="T53" s="58">
        <f>-T52/$E$53*T6</f>
        <v>-3.1274548509282711</v>
      </c>
      <c r="U53" s="58">
        <f>-U52/$E$53*U6</f>
        <v>-3.4402003360210984</v>
      </c>
      <c r="V53" s="58">
        <f>-V52/$E$53*V6</f>
        <v>-3.7842203696232084</v>
      </c>
      <c r="W53" s="58">
        <f>-W52/$E$53*W6</f>
        <v>-4.1626424065855296</v>
      </c>
      <c r="X53" s="58">
        <f>-X52/$E$53*X6</f>
        <v>0</v>
      </c>
      <c r="Y53" s="58">
        <f>-Y52/$E$53*Y6</f>
        <v>0</v>
      </c>
      <c r="Z53" s="58">
        <f>-Z52/$E$53*Z6</f>
        <v>0</v>
      </c>
      <c r="AA53" s="58">
        <f>-AA52/$E$53*AA6</f>
        <v>0</v>
      </c>
      <c r="AB53" s="58">
        <f>-AB52/$E$53*AB6</f>
        <v>0</v>
      </c>
      <c r="AC53" s="58">
        <f>-AC52/$E$53*AC6</f>
        <v>0</v>
      </c>
      <c r="AD53" s="58">
        <f>-AD52/$E$53*AD6</f>
        <v>0</v>
      </c>
      <c r="AE53" s="58">
        <f>-AE52/$E$53*AE6</f>
        <v>0</v>
      </c>
      <c r="AF53" s="58">
        <f>-AF52/$E$53*AF6</f>
        <v>0</v>
      </c>
      <c r="AG53" s="58">
        <f>-AG52/$E$53*AG6</f>
        <v>0</v>
      </c>
      <c r="AH53" s="58">
        <f>-AH52/$E$53*AH6</f>
        <v>0</v>
      </c>
      <c r="AI53" s="58">
        <f>-AI52/$E$53*AI6</f>
        <v>0</v>
      </c>
      <c r="AJ53" s="58">
        <f>-AJ52/$E$53*AJ6</f>
        <v>0</v>
      </c>
      <c r="AK53" s="58">
        <f>-AK52/$E$53*AK6</f>
        <v>0</v>
      </c>
      <c r="AL53" s="58">
        <f>-AL52/$E$53*AL6</f>
        <v>0</v>
      </c>
      <c r="AM53" s="58">
        <f>-AM52/$E$53*AM6</f>
        <v>0</v>
      </c>
      <c r="AN53" s="58">
        <f>-AN52/$E$53*AN6</f>
        <v>0</v>
      </c>
      <c r="AO53" s="58">
        <f>-AO52/$E$53*AO6</f>
        <v>0</v>
      </c>
      <c r="AP53" s="58">
        <f>-AP52/$E$53*AP6</f>
        <v>0</v>
      </c>
      <c r="AQ53" s="58">
        <f>-AQ52/$E$53*AQ6</f>
        <v>0</v>
      </c>
    </row>
    <row r="54" spans="1:43" s="59" customFormat="1" outlineLevel="1" x14ac:dyDescent="0.3">
      <c r="B54" s="48"/>
      <c r="C54" s="60" t="s">
        <v>65</v>
      </c>
      <c r="D54" s="61" t="s">
        <v>98</v>
      </c>
      <c r="E54" s="60"/>
      <c r="H54" s="92">
        <f>SUM(I54:AO54)</f>
        <v>199.08385121111394</v>
      </c>
      <c r="I54" s="62">
        <f>I52+I53</f>
        <v>0.27692307692307705</v>
      </c>
      <c r="J54" s="62">
        <f t="shared" ref="J54:AQ54" si="11">J52+J53</f>
        <v>0.30461538461538473</v>
      </c>
      <c r="K54" s="62">
        <f t="shared" si="11"/>
        <v>0.33507692307692327</v>
      </c>
      <c r="L54" s="62">
        <f t="shared" si="11"/>
        <v>0.36858461538461551</v>
      </c>
      <c r="M54" s="62">
        <f t="shared" si="11"/>
        <v>0.40544307692307724</v>
      </c>
      <c r="N54" s="62">
        <f t="shared" si="11"/>
        <v>0.44598738461538479</v>
      </c>
      <c r="O54" s="62">
        <f t="shared" si="11"/>
        <v>0.49058612307692329</v>
      </c>
      <c r="P54" s="62">
        <f t="shared" si="11"/>
        <v>0.64082812326923122</v>
      </c>
      <c r="Q54" s="62">
        <f t="shared" si="11"/>
        <v>0.70491093559615425</v>
      </c>
      <c r="R54" s="62">
        <f t="shared" si="11"/>
        <v>0.77540202915576995</v>
      </c>
      <c r="S54" s="62">
        <f t="shared" si="11"/>
        <v>0.85294223207134667</v>
      </c>
      <c r="T54" s="62">
        <f t="shared" si="11"/>
        <v>0.93823645527848143</v>
      </c>
      <c r="U54" s="62">
        <f t="shared" si="11"/>
        <v>1.0320601008063295</v>
      </c>
      <c r="V54" s="62">
        <f t="shared" si="11"/>
        <v>1.1352661108869628</v>
      </c>
      <c r="W54" s="62">
        <f t="shared" si="11"/>
        <v>1.2487927219756596</v>
      </c>
      <c r="X54" s="62">
        <f t="shared" si="11"/>
        <v>5.9525786414173085</v>
      </c>
      <c r="Y54" s="62">
        <f t="shared" si="11"/>
        <v>6.5478365055590402</v>
      </c>
      <c r="Z54" s="62">
        <f t="shared" si="11"/>
        <v>7.2026201561149445</v>
      </c>
      <c r="AA54" s="62">
        <f t="shared" si="11"/>
        <v>7.9228821717264397</v>
      </c>
      <c r="AB54" s="62">
        <f t="shared" si="11"/>
        <v>8.7151703888990859</v>
      </c>
      <c r="AC54" s="62">
        <f t="shared" si="11"/>
        <v>9.5866874277889949</v>
      </c>
      <c r="AD54" s="62">
        <f t="shared" si="11"/>
        <v>10.545356170567894</v>
      </c>
      <c r="AE54" s="62">
        <f t="shared" si="11"/>
        <v>11.599891787624685</v>
      </c>
      <c r="AF54" s="62">
        <f t="shared" si="11"/>
        <v>12.759880966387154</v>
      </c>
      <c r="AG54" s="62">
        <f t="shared" si="11"/>
        <v>14.035869063025871</v>
      </c>
      <c r="AH54" s="62">
        <f t="shared" si="11"/>
        <v>15.439455969328458</v>
      </c>
      <c r="AI54" s="62">
        <f t="shared" si="11"/>
        <v>16.983401566261307</v>
      </c>
      <c r="AJ54" s="62">
        <f t="shared" si="11"/>
        <v>18.681741722887438</v>
      </c>
      <c r="AK54" s="62">
        <f t="shared" si="11"/>
        <v>20.549915895176184</v>
      </c>
      <c r="AL54" s="62">
        <f t="shared" si="11"/>
        <v>22.604907484693804</v>
      </c>
      <c r="AM54" s="62">
        <f t="shared" si="11"/>
        <v>0</v>
      </c>
      <c r="AN54" s="62">
        <f t="shared" si="11"/>
        <v>0</v>
      </c>
      <c r="AO54" s="62">
        <f t="shared" si="11"/>
        <v>0</v>
      </c>
      <c r="AP54" s="62">
        <f t="shared" si="11"/>
        <v>0</v>
      </c>
      <c r="AQ54" s="62">
        <f t="shared" si="11"/>
        <v>0</v>
      </c>
    </row>
    <row r="55" spans="1:43" outlineLevel="1" x14ac:dyDescent="0.3">
      <c r="B55" s="48"/>
      <c r="H55" s="90"/>
    </row>
    <row r="56" spans="1:43" outlineLevel="1" x14ac:dyDescent="0.3">
      <c r="B56" s="48" t="s">
        <v>62</v>
      </c>
      <c r="H56" s="90"/>
    </row>
    <row r="57" spans="1:43" ht="13.65" customHeight="1" outlineLevel="1" x14ac:dyDescent="0.3">
      <c r="B57" s="48"/>
      <c r="C57" s="51" t="s">
        <v>63</v>
      </c>
      <c r="D57" s="49" t="s">
        <v>98</v>
      </c>
      <c r="H57" s="89">
        <f>SUM(I57:AO57)</f>
        <v>220.03707122163166</v>
      </c>
      <c r="I57" s="58">
        <f>I46</f>
        <v>-0.18300000000000016</v>
      </c>
      <c r="J57" s="58">
        <f>J46</f>
        <v>-0.30030000000000029</v>
      </c>
      <c r="K57" s="58">
        <f>K46</f>
        <v>-0.17193000000000014</v>
      </c>
      <c r="L57" s="58">
        <f>L46</f>
        <v>-9.4083000000000069E-2</v>
      </c>
      <c r="M57" s="58">
        <f>M46</f>
        <v>-9.2086500000000071E-2</v>
      </c>
      <c r="N57" s="58">
        <f>N46</f>
        <v>-3.2866350000000023E-2</v>
      </c>
      <c r="O57" s="58">
        <f>O46</f>
        <v>2.6573415000000034E-2</v>
      </c>
      <c r="P57" s="58">
        <f>P46</f>
        <v>2.7769218675000014</v>
      </c>
      <c r="Q57" s="58">
        <f>Q46</f>
        <v>3.0546140542500018</v>
      </c>
      <c r="R57" s="58">
        <f>R46</f>
        <v>3.3600754596750018</v>
      </c>
      <c r="S57" s="58">
        <f>S46</f>
        <v>3.6960830056425023</v>
      </c>
      <c r="T57" s="58">
        <f>T46</f>
        <v>4.0656913062067526</v>
      </c>
      <c r="U57" s="58">
        <f>U46</f>
        <v>4.4722604368274279</v>
      </c>
      <c r="V57" s="58">
        <f>V46</f>
        <v>4.9194864805101712</v>
      </c>
      <c r="W57" s="58">
        <f>W46</f>
        <v>5.4114351285611892</v>
      </c>
      <c r="X57" s="58">
        <f>X46</f>
        <v>5.9525786414173085</v>
      </c>
      <c r="Y57" s="58">
        <f>Y46</f>
        <v>6.5478365055590402</v>
      </c>
      <c r="Z57" s="58">
        <f>Z46</f>
        <v>7.2026201561149445</v>
      </c>
      <c r="AA57" s="58">
        <f>AA46</f>
        <v>7.9228821717264397</v>
      </c>
      <c r="AB57" s="58">
        <f>AB46</f>
        <v>8.7151703888990859</v>
      </c>
      <c r="AC57" s="58">
        <f>AC46</f>
        <v>9.5866874277889949</v>
      </c>
      <c r="AD57" s="58">
        <f>AD46</f>
        <v>10.545356170567894</v>
      </c>
      <c r="AE57" s="58">
        <f>AE46</f>
        <v>11.599891787624685</v>
      </c>
      <c r="AF57" s="58">
        <f>AF46</f>
        <v>12.759880966387154</v>
      </c>
      <c r="AG57" s="58">
        <f>AG46</f>
        <v>14.035869063025871</v>
      </c>
      <c r="AH57" s="58">
        <f>AH46</f>
        <v>15.439455969328458</v>
      </c>
      <c r="AI57" s="58">
        <f>AI46</f>
        <v>16.983401566261307</v>
      </c>
      <c r="AJ57" s="58">
        <f>AJ46</f>
        <v>18.681741722887438</v>
      </c>
      <c r="AK57" s="58">
        <f>AK46</f>
        <v>20.549915895176184</v>
      </c>
      <c r="AL57" s="58">
        <f>AL46</f>
        <v>22.604907484693804</v>
      </c>
      <c r="AM57" s="58">
        <f>AM46</f>
        <v>0</v>
      </c>
      <c r="AN57" s="58">
        <f>AN46</f>
        <v>0</v>
      </c>
      <c r="AO57" s="58">
        <f>AO46</f>
        <v>0</v>
      </c>
      <c r="AP57" s="58">
        <f>AP46</f>
        <v>0</v>
      </c>
      <c r="AQ57" s="58">
        <f>AQ46</f>
        <v>0</v>
      </c>
    </row>
    <row r="58" spans="1:43" ht="13.65" customHeight="1" outlineLevel="1" x14ac:dyDescent="0.3">
      <c r="B58" s="48"/>
      <c r="C58" s="51" t="s">
        <v>66</v>
      </c>
      <c r="D58" s="49" t="s">
        <v>98</v>
      </c>
      <c r="H58" s="91">
        <f>SUM(I58:AO58)</f>
        <v>-8.3039295234539896</v>
      </c>
      <c r="I58" s="58">
        <f>I24</f>
        <v>-0.74644764366191207</v>
      </c>
      <c r="J58" s="58">
        <f>J24</f>
        <v>-0.74114876527946172</v>
      </c>
      <c r="K58" s="58">
        <f>K24</f>
        <v>-0.73292168977630712</v>
      </c>
      <c r="L58" s="58">
        <f>L24</f>
        <v>-0.721401648161904</v>
      </c>
      <c r="M58" s="58">
        <f>M24</f>
        <v>-0.70618523606829964</v>
      </c>
      <c r="N58" s="58">
        <f>N24</f>
        <v>-0.68682648545804093</v>
      </c>
      <c r="O58" s="58">
        <f>O24</f>
        <v>-0.66283254156024363</v>
      </c>
      <c r="P58" s="58">
        <f>P24</f>
        <v>-0.63365890549935855</v>
      </c>
      <c r="Q58" s="58">
        <f>Q24</f>
        <v>-0.58858586033741633</v>
      </c>
      <c r="R58" s="58">
        <f>R24</f>
        <v>-0.53575234258792337</v>
      </c>
      <c r="S58" s="58">
        <f>S24</f>
        <v>-0.47428470994998406</v>
      </c>
      <c r="T58" s="58">
        <f>T24</f>
        <v>-0.40321902804134896</v>
      </c>
      <c r="U58" s="58">
        <f>U24</f>
        <v>-0.32149195335474123</v>
      </c>
      <c r="V58" s="58">
        <f>V24</f>
        <v>-0.22793070187475054</v>
      </c>
      <c r="W58" s="58">
        <f>W24</f>
        <v>-0.1212420118422968</v>
      </c>
      <c r="X58" s="58">
        <f>X24</f>
        <v>0</v>
      </c>
      <c r="Y58" s="58">
        <f>Y24</f>
        <v>0</v>
      </c>
      <c r="Z58" s="58">
        <f>Z24</f>
        <v>0</v>
      </c>
      <c r="AA58" s="58">
        <f>AA24</f>
        <v>0</v>
      </c>
      <c r="AB58" s="58">
        <f>AB24</f>
        <v>0</v>
      </c>
      <c r="AC58" s="58">
        <f>AC24</f>
        <v>0</v>
      </c>
      <c r="AD58" s="58">
        <f>AD24</f>
        <v>0</v>
      </c>
      <c r="AE58" s="58">
        <f>AE24</f>
        <v>0</v>
      </c>
      <c r="AF58" s="58">
        <f>AF24</f>
        <v>0</v>
      </c>
      <c r="AG58" s="58">
        <f>AG24</f>
        <v>0</v>
      </c>
      <c r="AH58" s="58">
        <f>AH24</f>
        <v>0</v>
      </c>
      <c r="AI58" s="58">
        <f>AI24</f>
        <v>0</v>
      </c>
      <c r="AJ58" s="58">
        <f>AJ24</f>
        <v>0</v>
      </c>
      <c r="AK58" s="58">
        <f>AK24</f>
        <v>0</v>
      </c>
      <c r="AL58" s="58">
        <f>AL24</f>
        <v>0</v>
      </c>
      <c r="AM58" s="58">
        <f>AM24</f>
        <v>0</v>
      </c>
      <c r="AN58" s="58">
        <f>AN24</f>
        <v>0</v>
      </c>
      <c r="AO58" s="58">
        <f>AO24</f>
        <v>0</v>
      </c>
      <c r="AP58" s="58">
        <f>AP24</f>
        <v>0</v>
      </c>
      <c r="AQ58" s="58">
        <f>AQ24</f>
        <v>0</v>
      </c>
    </row>
    <row r="59" spans="1:43" s="59" customFormat="1" ht="13.65" customHeight="1" outlineLevel="1" x14ac:dyDescent="0.3">
      <c r="B59" s="48"/>
      <c r="C59" s="60" t="s">
        <v>21</v>
      </c>
      <c r="D59" s="61" t="s">
        <v>98</v>
      </c>
      <c r="E59" s="60"/>
      <c r="F59" s="60"/>
      <c r="G59" s="60"/>
      <c r="H59" s="92">
        <f>SUM(I59:AO59)</f>
        <v>211.73314169817769</v>
      </c>
      <c r="I59" s="62">
        <f>SUM(I57:I58)</f>
        <v>-0.92944764366191224</v>
      </c>
      <c r="J59" s="62">
        <f t="shared" ref="J59:AQ59" si="12">SUM(J57:J58)</f>
        <v>-1.041448765279462</v>
      </c>
      <c r="K59" s="62">
        <f t="shared" si="12"/>
        <v>-0.90485168977630726</v>
      </c>
      <c r="L59" s="62">
        <f t="shared" si="12"/>
        <v>-0.81548464816190402</v>
      </c>
      <c r="M59" s="62">
        <f t="shared" si="12"/>
        <v>-0.79827173606829971</v>
      </c>
      <c r="N59" s="62">
        <f t="shared" si="12"/>
        <v>-0.71969283545804097</v>
      </c>
      <c r="O59" s="62">
        <f t="shared" si="12"/>
        <v>-0.63625912656024364</v>
      </c>
      <c r="P59" s="62">
        <f t="shared" si="12"/>
        <v>2.1432629620006427</v>
      </c>
      <c r="Q59" s="62">
        <f t="shared" si="12"/>
        <v>2.4660281939125852</v>
      </c>
      <c r="R59" s="62">
        <f t="shared" si="12"/>
        <v>2.8243231170870784</v>
      </c>
      <c r="S59" s="62">
        <f t="shared" si="12"/>
        <v>3.2217982956925182</v>
      </c>
      <c r="T59" s="62">
        <f t="shared" si="12"/>
        <v>3.6624722781654038</v>
      </c>
      <c r="U59" s="62">
        <f t="shared" si="12"/>
        <v>4.150768483472687</v>
      </c>
      <c r="V59" s="62">
        <f t="shared" si="12"/>
        <v>4.6915557786354203</v>
      </c>
      <c r="W59" s="62">
        <f t="shared" si="12"/>
        <v>5.2901931167188927</v>
      </c>
      <c r="X59" s="62">
        <f t="shared" si="12"/>
        <v>5.9525786414173085</v>
      </c>
      <c r="Y59" s="62">
        <f t="shared" si="12"/>
        <v>6.5478365055590402</v>
      </c>
      <c r="Z59" s="62">
        <f t="shared" si="12"/>
        <v>7.2026201561149445</v>
      </c>
      <c r="AA59" s="62">
        <f t="shared" si="12"/>
        <v>7.9228821717264397</v>
      </c>
      <c r="AB59" s="62">
        <f t="shared" si="12"/>
        <v>8.7151703888990859</v>
      </c>
      <c r="AC59" s="62">
        <f t="shared" si="12"/>
        <v>9.5866874277889949</v>
      </c>
      <c r="AD59" s="62">
        <f t="shared" si="12"/>
        <v>10.545356170567894</v>
      </c>
      <c r="AE59" s="62">
        <f t="shared" si="12"/>
        <v>11.599891787624685</v>
      </c>
      <c r="AF59" s="62">
        <f t="shared" si="12"/>
        <v>12.759880966387154</v>
      </c>
      <c r="AG59" s="62">
        <f t="shared" si="12"/>
        <v>14.035869063025871</v>
      </c>
      <c r="AH59" s="62">
        <f t="shared" si="12"/>
        <v>15.439455969328458</v>
      </c>
      <c r="AI59" s="62">
        <f t="shared" si="12"/>
        <v>16.983401566261307</v>
      </c>
      <c r="AJ59" s="62">
        <f t="shared" si="12"/>
        <v>18.681741722887438</v>
      </c>
      <c r="AK59" s="62">
        <f t="shared" si="12"/>
        <v>20.549915895176184</v>
      </c>
      <c r="AL59" s="62">
        <f t="shared" si="12"/>
        <v>22.604907484693804</v>
      </c>
      <c r="AM59" s="62">
        <f t="shared" si="12"/>
        <v>0</v>
      </c>
      <c r="AN59" s="62">
        <f t="shared" si="12"/>
        <v>0</v>
      </c>
      <c r="AO59" s="62">
        <f t="shared" si="12"/>
        <v>0</v>
      </c>
      <c r="AP59" s="62">
        <f t="shared" si="12"/>
        <v>0</v>
      </c>
      <c r="AQ59" s="62">
        <f t="shared" si="12"/>
        <v>0</v>
      </c>
    </row>
    <row r="60" spans="1:43" ht="13.65" customHeight="1" outlineLevel="1" x14ac:dyDescent="0.3">
      <c r="B60" s="48"/>
      <c r="H60" s="90"/>
    </row>
    <row r="61" spans="1:43" outlineLevel="1" x14ac:dyDescent="0.3">
      <c r="B61" s="48" t="s">
        <v>26</v>
      </c>
      <c r="C61" s="74"/>
      <c r="H61" s="90"/>
    </row>
    <row r="62" spans="1:43" outlineLevel="1" x14ac:dyDescent="0.3">
      <c r="C62" s="74" t="s">
        <v>67</v>
      </c>
      <c r="D62" s="49"/>
      <c r="H62" s="90"/>
    </row>
    <row r="63" spans="1:43" outlineLevel="1" x14ac:dyDescent="0.3">
      <c r="C63" s="51" t="s">
        <v>68</v>
      </c>
      <c r="D63" s="49"/>
      <c r="H63" s="90"/>
      <c r="I63" s="75">
        <f>H66</f>
        <v>0</v>
      </c>
      <c r="J63" s="75">
        <f t="shared" ref="J63:AQ63" si="13">I66</f>
        <v>0.92944764366191224</v>
      </c>
      <c r="K63" s="75">
        <f t="shared" si="13"/>
        <v>1.9708964089413743</v>
      </c>
      <c r="L63" s="75">
        <f t="shared" si="13"/>
        <v>2.8757480987176818</v>
      </c>
      <c r="M63" s="75">
        <f t="shared" si="13"/>
        <v>3.691232746879586</v>
      </c>
      <c r="N63" s="75">
        <f t="shared" si="13"/>
        <v>4.4895044829478854</v>
      </c>
      <c r="O63" s="75">
        <f t="shared" si="13"/>
        <v>5.2091973184059261</v>
      </c>
      <c r="P63" s="75">
        <f t="shared" si="13"/>
        <v>5.8454564449661701</v>
      </c>
      <c r="Q63" s="75">
        <f t="shared" si="13"/>
        <v>4.3451723715657202</v>
      </c>
      <c r="R63" s="75">
        <f t="shared" si="13"/>
        <v>2.6189526358269104</v>
      </c>
      <c r="S63" s="75">
        <f t="shared" si="13"/>
        <v>0.6419264538659557</v>
      </c>
      <c r="T63" s="75">
        <f t="shared" si="13"/>
        <v>0</v>
      </c>
      <c r="U63" s="75">
        <f t="shared" si="13"/>
        <v>0</v>
      </c>
      <c r="V63" s="75">
        <f t="shared" si="13"/>
        <v>0</v>
      </c>
      <c r="W63" s="75">
        <f t="shared" si="13"/>
        <v>0</v>
      </c>
      <c r="X63" s="75">
        <f t="shared" si="13"/>
        <v>0</v>
      </c>
      <c r="Y63" s="75">
        <f t="shared" si="13"/>
        <v>0</v>
      </c>
      <c r="Z63" s="75">
        <f t="shared" si="13"/>
        <v>0</v>
      </c>
      <c r="AA63" s="75">
        <f t="shared" si="13"/>
        <v>0</v>
      </c>
      <c r="AB63" s="75">
        <f t="shared" si="13"/>
        <v>0</v>
      </c>
      <c r="AC63" s="75">
        <f t="shared" si="13"/>
        <v>0</v>
      </c>
      <c r="AD63" s="75">
        <f t="shared" si="13"/>
        <v>0</v>
      </c>
      <c r="AE63" s="75">
        <f t="shared" si="13"/>
        <v>0</v>
      </c>
      <c r="AF63" s="75">
        <f t="shared" si="13"/>
        <v>0</v>
      </c>
      <c r="AG63" s="75">
        <f t="shared" si="13"/>
        <v>0</v>
      </c>
      <c r="AH63" s="75">
        <f t="shared" si="13"/>
        <v>0</v>
      </c>
      <c r="AI63" s="75">
        <f t="shared" si="13"/>
        <v>0</v>
      </c>
      <c r="AJ63" s="75">
        <f t="shared" si="13"/>
        <v>0</v>
      </c>
      <c r="AK63" s="75">
        <f t="shared" si="13"/>
        <v>0</v>
      </c>
      <c r="AL63" s="76">
        <f t="shared" si="13"/>
        <v>0</v>
      </c>
      <c r="AM63" s="75">
        <f t="shared" si="13"/>
        <v>0</v>
      </c>
      <c r="AN63" s="75">
        <f t="shared" si="13"/>
        <v>0</v>
      </c>
      <c r="AO63" s="75">
        <f t="shared" si="13"/>
        <v>0</v>
      </c>
      <c r="AP63" s="75">
        <f t="shared" si="13"/>
        <v>0</v>
      </c>
      <c r="AQ63" s="75">
        <f t="shared" si="13"/>
        <v>0</v>
      </c>
    </row>
    <row r="64" spans="1:43" outlineLevel="1" x14ac:dyDescent="0.3">
      <c r="C64" s="77" t="s">
        <v>69</v>
      </c>
      <c r="D64" s="49" t="s">
        <v>98</v>
      </c>
      <c r="H64" s="89">
        <f>SUM(I64:AO64)</f>
        <v>5.8454564449661701</v>
      </c>
      <c r="I64" s="58">
        <f>-MIN(I59,0)</f>
        <v>0.92944764366191224</v>
      </c>
      <c r="J64" s="58">
        <f t="shared" ref="J64:AQ64" si="14">-MIN(J59,0)</f>
        <v>1.041448765279462</v>
      </c>
      <c r="K64" s="58">
        <f t="shared" si="14"/>
        <v>0.90485168977630726</v>
      </c>
      <c r="L64" s="58">
        <f t="shared" si="14"/>
        <v>0.81548464816190402</v>
      </c>
      <c r="M64" s="58">
        <f t="shared" si="14"/>
        <v>0.79827173606829971</v>
      </c>
      <c r="N64" s="58">
        <f t="shared" si="14"/>
        <v>0.71969283545804097</v>
      </c>
      <c r="O64" s="58">
        <f t="shared" si="14"/>
        <v>0.63625912656024364</v>
      </c>
      <c r="P64" s="58">
        <f t="shared" si="14"/>
        <v>0</v>
      </c>
      <c r="Q64" s="58">
        <f t="shared" si="14"/>
        <v>0</v>
      </c>
      <c r="R64" s="58">
        <f t="shared" si="14"/>
        <v>0</v>
      </c>
      <c r="S64" s="58">
        <f t="shared" si="14"/>
        <v>0</v>
      </c>
      <c r="T64" s="58">
        <f t="shared" si="14"/>
        <v>0</v>
      </c>
      <c r="U64" s="58">
        <f t="shared" si="14"/>
        <v>0</v>
      </c>
      <c r="V64" s="58">
        <f t="shared" si="14"/>
        <v>0</v>
      </c>
      <c r="W64" s="58">
        <f t="shared" si="14"/>
        <v>0</v>
      </c>
      <c r="X64" s="58">
        <f t="shared" si="14"/>
        <v>0</v>
      </c>
      <c r="Y64" s="58">
        <f t="shared" si="14"/>
        <v>0</v>
      </c>
      <c r="Z64" s="58">
        <f t="shared" si="14"/>
        <v>0</v>
      </c>
      <c r="AA64" s="58">
        <f t="shared" si="14"/>
        <v>0</v>
      </c>
      <c r="AB64" s="58">
        <f t="shared" si="14"/>
        <v>0</v>
      </c>
      <c r="AC64" s="58">
        <f t="shared" si="14"/>
        <v>0</v>
      </c>
      <c r="AD64" s="58">
        <f t="shared" si="14"/>
        <v>0</v>
      </c>
      <c r="AE64" s="58">
        <f t="shared" si="14"/>
        <v>0</v>
      </c>
      <c r="AF64" s="58">
        <f t="shared" si="14"/>
        <v>0</v>
      </c>
      <c r="AG64" s="58">
        <f t="shared" si="14"/>
        <v>0</v>
      </c>
      <c r="AH64" s="58">
        <f t="shared" si="14"/>
        <v>0</v>
      </c>
      <c r="AI64" s="58">
        <f t="shared" si="14"/>
        <v>0</v>
      </c>
      <c r="AJ64" s="58">
        <f t="shared" si="14"/>
        <v>0</v>
      </c>
      <c r="AK64" s="58">
        <f t="shared" si="14"/>
        <v>0</v>
      </c>
      <c r="AL64" s="58">
        <f t="shared" si="14"/>
        <v>0</v>
      </c>
      <c r="AM64" s="58">
        <f t="shared" si="14"/>
        <v>0</v>
      </c>
      <c r="AN64" s="58">
        <f t="shared" si="14"/>
        <v>0</v>
      </c>
      <c r="AO64" s="58">
        <f t="shared" si="14"/>
        <v>0</v>
      </c>
      <c r="AP64" s="58">
        <f t="shared" si="14"/>
        <v>0</v>
      </c>
      <c r="AQ64" s="58">
        <f t="shared" si="14"/>
        <v>0</v>
      </c>
    </row>
    <row r="65" spans="2:43" outlineLevel="1" x14ac:dyDescent="0.3">
      <c r="C65" s="88" t="str">
        <f>"NOLS Utilized (capped at "&amp;TEXT(F65,"0%")&amp;")"</f>
        <v>NOLS Utilized (capped at 70%)</v>
      </c>
      <c r="D65" s="49" t="s">
        <v>98</v>
      </c>
      <c r="E65" s="54" t="s">
        <v>71</v>
      </c>
      <c r="F65" s="78">
        <f>Inputs!$H$29</f>
        <v>0.7</v>
      </c>
      <c r="H65" s="89">
        <f>SUM(I65:AO65)</f>
        <v>-5.845456444966171</v>
      </c>
      <c r="I65" s="75">
        <f>-IF(I59&gt;0,MIN($F$65*I59,I63),0)</f>
        <v>0</v>
      </c>
      <c r="J65" s="75">
        <f>-IF(J59&gt;0,MIN($F$65*J59,J63),0)</f>
        <v>0</v>
      </c>
      <c r="K65" s="75">
        <f>-IF(K59&gt;0,MIN($F$65*K59,K63),0)</f>
        <v>0</v>
      </c>
      <c r="L65" s="75">
        <f>-IF(L59&gt;0,MIN($F$65*L59,L63),0)</f>
        <v>0</v>
      </c>
      <c r="M65" s="75">
        <f>-IF(M59&gt;0,MIN($F$65*M59,M63),0)</f>
        <v>0</v>
      </c>
      <c r="N65" s="75">
        <f>-IF(N59&gt;0,MIN($F$65*N59,N63),0)</f>
        <v>0</v>
      </c>
      <c r="O65" s="75">
        <f>-IF(O59&gt;0,MIN($F$65*O59,O63),0)</f>
        <v>0</v>
      </c>
      <c r="P65" s="75">
        <f>-IF(P59&gt;0,MIN($F$65*P59,P63),0)</f>
        <v>-1.5002840734004499</v>
      </c>
      <c r="Q65" s="75">
        <f>-IF(Q59&gt;0,MIN($F$65*Q59,Q63),0)</f>
        <v>-1.7262197357388096</v>
      </c>
      <c r="R65" s="75">
        <f>-IF(R59&gt;0,MIN($F$65*R59,R63),0)</f>
        <v>-1.9770261819609547</v>
      </c>
      <c r="S65" s="75">
        <f>-IF(S59&gt;0,MIN($F$65*S59,S63),0)</f>
        <v>-0.6419264538659557</v>
      </c>
      <c r="T65" s="75">
        <f>-IF(T59&gt;0,MIN($F$65*T59,T63),0)</f>
        <v>0</v>
      </c>
      <c r="U65" s="75">
        <f>-IF(U59&gt;0,MIN($F$65*U59,U63),0)</f>
        <v>0</v>
      </c>
      <c r="V65" s="75">
        <f>-IF(V59&gt;0,MIN($F$65*V59,V63),0)</f>
        <v>0</v>
      </c>
      <c r="W65" s="75">
        <f>-IF(W59&gt;0,MIN($F$65*W59,W63),0)</f>
        <v>0</v>
      </c>
      <c r="X65" s="75">
        <f>-IF(X59&gt;0,MIN($F$65*X59,X63),0)</f>
        <v>0</v>
      </c>
      <c r="Y65" s="75">
        <f>-IF(Y59&gt;0,MIN($F$65*Y59,Y63),0)</f>
        <v>0</v>
      </c>
      <c r="Z65" s="75">
        <f>-IF(Z59&gt;0,MIN($F$65*Z59,Z63),0)</f>
        <v>0</v>
      </c>
      <c r="AA65" s="75">
        <f>-IF(AA59&gt;0,MIN($F$65*AA59,AA63),0)</f>
        <v>0</v>
      </c>
      <c r="AB65" s="75">
        <f>-IF(AB59&gt;0,MIN($F$65*AB59,AB63),0)</f>
        <v>0</v>
      </c>
      <c r="AC65" s="75">
        <f>-IF(AC59&gt;0,MIN($F$65*AC59,AC63),0)</f>
        <v>0</v>
      </c>
      <c r="AD65" s="75">
        <f>-IF(AD59&gt;0,MIN($F$65*AD59,AD63),0)</f>
        <v>0</v>
      </c>
      <c r="AE65" s="75">
        <f>-IF(AE59&gt;0,MIN($F$65*AE59,AE63),0)</f>
        <v>0</v>
      </c>
      <c r="AF65" s="75">
        <f>-IF(AF59&gt;0,MIN($F$65*AF59,AF63),0)</f>
        <v>0</v>
      </c>
      <c r="AG65" s="75">
        <f>-IF(AG59&gt;0,MIN($F$65*AG59,AG63),0)</f>
        <v>0</v>
      </c>
      <c r="AH65" s="75">
        <f>-IF(AH59&gt;0,MIN($F$65*AH59,AH63),0)</f>
        <v>0</v>
      </c>
      <c r="AI65" s="75">
        <f>-IF(AI59&gt;0,MIN($F$65*AI59,AI63),0)</f>
        <v>0</v>
      </c>
      <c r="AJ65" s="75">
        <f>-IF(AJ59&gt;0,MIN($F$65*AJ59,AJ63),0)</f>
        <v>0</v>
      </c>
      <c r="AK65" s="75">
        <f>-IF(AK59&gt;0,MIN($F$65*AK59,AK63),0)</f>
        <v>0</v>
      </c>
      <c r="AL65" s="75">
        <f>-IF(AL59&gt;0,MIN($F$65*AL59,AL63),0)</f>
        <v>0</v>
      </c>
      <c r="AM65" s="75">
        <f>-IF(AM59&gt;0,MIN($F$65*AM59,AM63),0)</f>
        <v>0</v>
      </c>
      <c r="AN65" s="75">
        <f>-IF(AN59&gt;0,MIN($F$65*AN59,AN63),0)</f>
        <v>0</v>
      </c>
      <c r="AO65" s="75">
        <f>-IF(AO59&gt;0,MIN($F$65*AO59,AO63),0)</f>
        <v>0</v>
      </c>
      <c r="AP65" s="75">
        <f>-IF(AP59&gt;0,MIN($F$65*AP59,AP63),0)</f>
        <v>0</v>
      </c>
      <c r="AQ65" s="75">
        <f>-IF(AQ59&gt;0,MIN($F$65*AQ59,AQ63),0)</f>
        <v>0</v>
      </c>
    </row>
    <row r="66" spans="2:43" outlineLevel="1" x14ac:dyDescent="0.3">
      <c r="C66" s="114" t="s">
        <v>27</v>
      </c>
      <c r="D66" s="113" t="s">
        <v>98</v>
      </c>
      <c r="E66" s="114"/>
      <c r="F66" s="114"/>
      <c r="G66" s="114"/>
      <c r="H66" s="115"/>
      <c r="I66" s="116">
        <f>SUM(I63:I65)</f>
        <v>0.92944764366191224</v>
      </c>
      <c r="J66" s="116">
        <f t="shared" ref="J66:AQ66" si="15">SUM(J63:J65)</f>
        <v>1.9708964089413743</v>
      </c>
      <c r="K66" s="116">
        <f t="shared" si="15"/>
        <v>2.8757480987176818</v>
      </c>
      <c r="L66" s="116">
        <f t="shared" si="15"/>
        <v>3.691232746879586</v>
      </c>
      <c r="M66" s="116">
        <f t="shared" si="15"/>
        <v>4.4895044829478854</v>
      </c>
      <c r="N66" s="116">
        <f t="shared" si="15"/>
        <v>5.2091973184059261</v>
      </c>
      <c r="O66" s="116">
        <f t="shared" si="15"/>
        <v>5.8454564449661701</v>
      </c>
      <c r="P66" s="116">
        <f t="shared" si="15"/>
        <v>4.3451723715657202</v>
      </c>
      <c r="Q66" s="116">
        <f t="shared" si="15"/>
        <v>2.6189526358269104</v>
      </c>
      <c r="R66" s="116">
        <f t="shared" si="15"/>
        <v>0.6419264538659557</v>
      </c>
      <c r="S66" s="116">
        <f t="shared" si="15"/>
        <v>0</v>
      </c>
      <c r="T66" s="116">
        <f t="shared" si="15"/>
        <v>0</v>
      </c>
      <c r="U66" s="116">
        <f t="shared" si="15"/>
        <v>0</v>
      </c>
      <c r="V66" s="116">
        <f t="shared" si="15"/>
        <v>0</v>
      </c>
      <c r="W66" s="116">
        <f t="shared" si="15"/>
        <v>0</v>
      </c>
      <c r="X66" s="116">
        <f t="shared" si="15"/>
        <v>0</v>
      </c>
      <c r="Y66" s="116">
        <f t="shared" si="15"/>
        <v>0</v>
      </c>
      <c r="Z66" s="116">
        <f t="shared" si="15"/>
        <v>0</v>
      </c>
      <c r="AA66" s="116">
        <f t="shared" si="15"/>
        <v>0</v>
      </c>
      <c r="AB66" s="116">
        <f t="shared" si="15"/>
        <v>0</v>
      </c>
      <c r="AC66" s="116">
        <f t="shared" si="15"/>
        <v>0</v>
      </c>
      <c r="AD66" s="116">
        <f t="shared" si="15"/>
        <v>0</v>
      </c>
      <c r="AE66" s="116">
        <f t="shared" si="15"/>
        <v>0</v>
      </c>
      <c r="AF66" s="116">
        <f t="shared" si="15"/>
        <v>0</v>
      </c>
      <c r="AG66" s="116">
        <f t="shared" si="15"/>
        <v>0</v>
      </c>
      <c r="AH66" s="116">
        <f t="shared" si="15"/>
        <v>0</v>
      </c>
      <c r="AI66" s="116">
        <f t="shared" si="15"/>
        <v>0</v>
      </c>
      <c r="AJ66" s="116">
        <f t="shared" si="15"/>
        <v>0</v>
      </c>
      <c r="AK66" s="116">
        <f t="shared" si="15"/>
        <v>0</v>
      </c>
      <c r="AL66" s="120">
        <f t="shared" si="15"/>
        <v>0</v>
      </c>
      <c r="AM66" s="116">
        <f t="shared" si="15"/>
        <v>0</v>
      </c>
      <c r="AN66" s="116">
        <f t="shared" si="15"/>
        <v>0</v>
      </c>
      <c r="AO66" s="116">
        <f t="shared" si="15"/>
        <v>0</v>
      </c>
      <c r="AP66" s="116">
        <f t="shared" si="15"/>
        <v>0</v>
      </c>
      <c r="AQ66" s="116">
        <f t="shared" si="15"/>
        <v>0</v>
      </c>
    </row>
    <row r="67" spans="2:43" s="117" customFormat="1" outlineLevel="1" x14ac:dyDescent="0.3">
      <c r="D67" s="118"/>
      <c r="H67" s="119"/>
    </row>
    <row r="68" spans="2:43" outlineLevel="1" x14ac:dyDescent="0.3">
      <c r="C68" s="79" t="s">
        <v>72</v>
      </c>
      <c r="H68" s="89">
        <f>SUM(I68:AO68)</f>
        <v>211.73314169817769</v>
      </c>
      <c r="I68" s="80">
        <f>MAX(I59+I65,0)</f>
        <v>0</v>
      </c>
      <c r="J68" s="80">
        <f t="shared" ref="J68:AQ68" si="16">MAX(J59+J65,0)</f>
        <v>0</v>
      </c>
      <c r="K68" s="80">
        <f t="shared" si="16"/>
        <v>0</v>
      </c>
      <c r="L68" s="80">
        <f t="shared" si="16"/>
        <v>0</v>
      </c>
      <c r="M68" s="80">
        <f t="shared" si="16"/>
        <v>0</v>
      </c>
      <c r="N68" s="80">
        <f t="shared" si="16"/>
        <v>0</v>
      </c>
      <c r="O68" s="80">
        <f t="shared" si="16"/>
        <v>0</v>
      </c>
      <c r="P68" s="80">
        <f t="shared" si="16"/>
        <v>0.64297888860019281</v>
      </c>
      <c r="Q68" s="80">
        <f t="shared" si="16"/>
        <v>0.73980845817377561</v>
      </c>
      <c r="R68" s="80">
        <f t="shared" si="16"/>
        <v>0.8472969351261237</v>
      </c>
      <c r="S68" s="80">
        <f t="shared" si="16"/>
        <v>2.5798718418265625</v>
      </c>
      <c r="T68" s="80">
        <f t="shared" si="16"/>
        <v>3.6624722781654038</v>
      </c>
      <c r="U68" s="80">
        <f t="shared" si="16"/>
        <v>4.150768483472687</v>
      </c>
      <c r="V68" s="80">
        <f t="shared" si="16"/>
        <v>4.6915557786354203</v>
      </c>
      <c r="W68" s="80">
        <f t="shared" si="16"/>
        <v>5.2901931167188927</v>
      </c>
      <c r="X68" s="80">
        <f t="shared" si="16"/>
        <v>5.9525786414173085</v>
      </c>
      <c r="Y68" s="80">
        <f t="shared" si="16"/>
        <v>6.5478365055590402</v>
      </c>
      <c r="Z68" s="80">
        <f t="shared" si="16"/>
        <v>7.2026201561149445</v>
      </c>
      <c r="AA68" s="80">
        <f t="shared" si="16"/>
        <v>7.9228821717264397</v>
      </c>
      <c r="AB68" s="80">
        <f t="shared" si="16"/>
        <v>8.7151703888990859</v>
      </c>
      <c r="AC68" s="80">
        <f t="shared" si="16"/>
        <v>9.5866874277889949</v>
      </c>
      <c r="AD68" s="80">
        <f t="shared" si="16"/>
        <v>10.545356170567894</v>
      </c>
      <c r="AE68" s="80">
        <f t="shared" si="16"/>
        <v>11.599891787624685</v>
      </c>
      <c r="AF68" s="80">
        <f t="shared" si="16"/>
        <v>12.759880966387154</v>
      </c>
      <c r="AG68" s="80">
        <f t="shared" si="16"/>
        <v>14.035869063025871</v>
      </c>
      <c r="AH68" s="80">
        <f t="shared" si="16"/>
        <v>15.439455969328458</v>
      </c>
      <c r="AI68" s="80">
        <f t="shared" si="16"/>
        <v>16.983401566261307</v>
      </c>
      <c r="AJ68" s="80">
        <f t="shared" si="16"/>
        <v>18.681741722887438</v>
      </c>
      <c r="AK68" s="80">
        <f t="shared" si="16"/>
        <v>20.549915895176184</v>
      </c>
      <c r="AL68" s="80">
        <f t="shared" si="16"/>
        <v>22.604907484693804</v>
      </c>
      <c r="AM68" s="80">
        <f t="shared" si="16"/>
        <v>0</v>
      </c>
      <c r="AN68" s="80">
        <f t="shared" si="16"/>
        <v>0</v>
      </c>
      <c r="AO68" s="80">
        <f t="shared" si="16"/>
        <v>0</v>
      </c>
      <c r="AP68" s="80">
        <f t="shared" si="16"/>
        <v>0</v>
      </c>
      <c r="AQ68" s="80">
        <f t="shared" si="16"/>
        <v>0</v>
      </c>
    </row>
    <row r="69" spans="2:43" outlineLevel="1" x14ac:dyDescent="0.3">
      <c r="C69" s="57" t="s">
        <v>73</v>
      </c>
      <c r="E69" s="54" t="s">
        <v>24</v>
      </c>
      <c r="F69" s="55">
        <f>Inputs!$H$14</f>
        <v>0.27</v>
      </c>
      <c r="H69" s="89">
        <f>SUM(I69:AO69)</f>
        <v>57.167948258507977</v>
      </c>
      <c r="I69" s="81">
        <f>I68*$F$69</f>
        <v>0</v>
      </c>
      <c r="J69" s="81">
        <f>J68*$F$69</f>
        <v>0</v>
      </c>
      <c r="K69" s="81">
        <f>K68*$F$69</f>
        <v>0</v>
      </c>
      <c r="L69" s="81">
        <f>L68*$F$69</f>
        <v>0</v>
      </c>
      <c r="M69" s="81">
        <f>M68*$F$69</f>
        <v>0</v>
      </c>
      <c r="N69" s="81">
        <f>N68*$F$69</f>
        <v>0</v>
      </c>
      <c r="O69" s="81">
        <f>O68*$F$69</f>
        <v>0</v>
      </c>
      <c r="P69" s="81">
        <f>P68*$F$69</f>
        <v>0.17360429992205206</v>
      </c>
      <c r="Q69" s="81">
        <f>Q68*$F$69</f>
        <v>0.19974828370691944</v>
      </c>
      <c r="R69" s="81">
        <f>R68*$F$69</f>
        <v>0.2287701724840534</v>
      </c>
      <c r="S69" s="81">
        <f>S68*$F$69</f>
        <v>0.69656539729317191</v>
      </c>
      <c r="T69" s="81">
        <f>T68*$F$69</f>
        <v>0.98886751510465909</v>
      </c>
      <c r="U69" s="81">
        <f>U68*$F$69</f>
        <v>1.1207074905376255</v>
      </c>
      <c r="V69" s="81">
        <f>V68*$F$69</f>
        <v>1.2667200602315636</v>
      </c>
      <c r="W69" s="81">
        <f>W68*$F$69</f>
        <v>1.4283521415141012</v>
      </c>
      <c r="X69" s="81">
        <f>X68*$F$69</f>
        <v>1.6071962331826735</v>
      </c>
      <c r="Y69" s="81">
        <f>Y68*$F$69</f>
        <v>1.767915856500941</v>
      </c>
      <c r="Z69" s="81">
        <f>Z68*$F$69</f>
        <v>1.9447074421510351</v>
      </c>
      <c r="AA69" s="81">
        <f>AA68*$F$69</f>
        <v>2.1391781863661388</v>
      </c>
      <c r="AB69" s="81">
        <f>AB68*$F$69</f>
        <v>2.3530960050027532</v>
      </c>
      <c r="AC69" s="81">
        <f>AC68*$F$69</f>
        <v>2.5884056055030289</v>
      </c>
      <c r="AD69" s="81">
        <f>AD68*$F$69</f>
        <v>2.8472461660533317</v>
      </c>
      <c r="AE69" s="81">
        <f>AE68*$F$69</f>
        <v>3.1319707826586654</v>
      </c>
      <c r="AF69" s="81">
        <f>AF68*$F$69</f>
        <v>3.4451678609245318</v>
      </c>
      <c r="AG69" s="81">
        <f>AG68*$F$69</f>
        <v>3.7896846470169852</v>
      </c>
      <c r="AH69" s="81">
        <f>AH68*$F$69</f>
        <v>4.168653111718684</v>
      </c>
      <c r="AI69" s="81">
        <f>AI68*$F$69</f>
        <v>4.5855184228905532</v>
      </c>
      <c r="AJ69" s="81">
        <f>AJ68*$F$69</f>
        <v>5.0440702651796085</v>
      </c>
      <c r="AK69" s="81">
        <f>AK68*$F$69</f>
        <v>5.5484772916975702</v>
      </c>
      <c r="AL69" s="81">
        <f>AL68*$F$69</f>
        <v>6.1033250208673273</v>
      </c>
      <c r="AM69" s="81">
        <f>AM68*$F$69</f>
        <v>0</v>
      </c>
      <c r="AN69" s="81">
        <f>AN68*$F$69</f>
        <v>0</v>
      </c>
      <c r="AO69" s="81">
        <f>AO68*$F$69</f>
        <v>0</v>
      </c>
      <c r="AP69" s="81">
        <f>AP68*$F$69</f>
        <v>0</v>
      </c>
      <c r="AQ69" s="81">
        <f>AQ68*$F$69</f>
        <v>0</v>
      </c>
    </row>
    <row r="70" spans="2:43" outlineLevel="1" x14ac:dyDescent="0.3">
      <c r="H70" s="90"/>
    </row>
    <row r="71" spans="2:43" outlineLevel="1" x14ac:dyDescent="0.3">
      <c r="C71" s="74" t="s">
        <v>74</v>
      </c>
      <c r="H71" s="90"/>
    </row>
    <row r="72" spans="2:43" outlineLevel="1" x14ac:dyDescent="0.3">
      <c r="C72" s="51" t="s">
        <v>75</v>
      </c>
      <c r="D72" s="49" t="s">
        <v>98</v>
      </c>
      <c r="H72" s="90"/>
      <c r="I72" s="75">
        <f>H75</f>
        <v>0</v>
      </c>
      <c r="J72" s="75">
        <f t="shared" ref="J72:AQ72" si="17">I75</f>
        <v>2.0000000000000018E-2</v>
      </c>
      <c r="K72" s="75">
        <f t="shared" si="17"/>
        <v>5.0000000000000044E-2</v>
      </c>
      <c r="L72" s="75">
        <f t="shared" si="17"/>
        <v>9.000000000000008E-2</v>
      </c>
      <c r="M72" s="75">
        <f t="shared" si="17"/>
        <v>0.14000000000000012</v>
      </c>
      <c r="N72" s="75">
        <f t="shared" si="17"/>
        <v>0.18000000000000016</v>
      </c>
      <c r="O72" s="75">
        <f t="shared" si="17"/>
        <v>0.21500000000000019</v>
      </c>
      <c r="P72" s="75">
        <f t="shared" si="17"/>
        <v>0.21500000000000019</v>
      </c>
      <c r="Q72" s="75">
        <f t="shared" si="17"/>
        <v>4.1395700077948128E-2</v>
      </c>
      <c r="R72" s="75">
        <f t="shared" si="17"/>
        <v>0</v>
      </c>
      <c r="S72" s="75">
        <f t="shared" si="17"/>
        <v>0</v>
      </c>
      <c r="T72" s="75">
        <f t="shared" si="17"/>
        <v>0</v>
      </c>
      <c r="U72" s="75">
        <f t="shared" si="17"/>
        <v>0</v>
      </c>
      <c r="V72" s="75">
        <f t="shared" si="17"/>
        <v>0</v>
      </c>
      <c r="W72" s="75">
        <f t="shared" si="17"/>
        <v>0</v>
      </c>
      <c r="X72" s="75">
        <f t="shared" si="17"/>
        <v>0</v>
      </c>
      <c r="Y72" s="75">
        <f t="shared" si="17"/>
        <v>0</v>
      </c>
      <c r="Z72" s="75">
        <f t="shared" si="17"/>
        <v>0</v>
      </c>
      <c r="AA72" s="75">
        <f t="shared" si="17"/>
        <v>0</v>
      </c>
      <c r="AB72" s="75">
        <f t="shared" si="17"/>
        <v>0</v>
      </c>
      <c r="AC72" s="75">
        <f t="shared" si="17"/>
        <v>0</v>
      </c>
      <c r="AD72" s="75">
        <f t="shared" si="17"/>
        <v>0</v>
      </c>
      <c r="AE72" s="75">
        <f t="shared" si="17"/>
        <v>0</v>
      </c>
      <c r="AF72" s="75">
        <f t="shared" si="17"/>
        <v>0</v>
      </c>
      <c r="AG72" s="75">
        <f t="shared" si="17"/>
        <v>0</v>
      </c>
      <c r="AH72" s="75">
        <f t="shared" si="17"/>
        <v>0</v>
      </c>
      <c r="AI72" s="75">
        <f t="shared" si="17"/>
        <v>0</v>
      </c>
      <c r="AJ72" s="75">
        <f t="shared" si="17"/>
        <v>0</v>
      </c>
      <c r="AK72" s="75">
        <f t="shared" si="17"/>
        <v>0</v>
      </c>
      <c r="AL72" s="75">
        <f t="shared" si="17"/>
        <v>0</v>
      </c>
      <c r="AM72" s="75">
        <f t="shared" si="17"/>
        <v>0</v>
      </c>
      <c r="AN72" s="75">
        <f t="shared" si="17"/>
        <v>0</v>
      </c>
      <c r="AO72" s="75">
        <f t="shared" si="17"/>
        <v>0</v>
      </c>
      <c r="AP72" s="75">
        <f t="shared" si="17"/>
        <v>0</v>
      </c>
      <c r="AQ72" s="75">
        <f t="shared" si="17"/>
        <v>0</v>
      </c>
    </row>
    <row r="73" spans="2:43" outlineLevel="1" x14ac:dyDescent="0.3">
      <c r="C73" s="77" t="s">
        <v>77</v>
      </c>
      <c r="D73" s="49" t="s">
        <v>98</v>
      </c>
      <c r="H73" s="89">
        <f>SUM(I73:AO73)</f>
        <v>0.21500000000000019</v>
      </c>
      <c r="I73" s="75">
        <f>I47</f>
        <v>2.0000000000000018E-2</v>
      </c>
      <c r="J73" s="75">
        <f>J47</f>
        <v>3.0000000000000027E-2</v>
      </c>
      <c r="K73" s="75">
        <f>K47</f>
        <v>4.0000000000000036E-2</v>
      </c>
      <c r="L73" s="75">
        <f>L47</f>
        <v>5.0000000000000044E-2</v>
      </c>
      <c r="M73" s="75">
        <f>M47</f>
        <v>4.0000000000000036E-2</v>
      </c>
      <c r="N73" s="75">
        <f>N47</f>
        <v>3.5000000000000031E-2</v>
      </c>
      <c r="O73" s="75">
        <f>O47</f>
        <v>0</v>
      </c>
      <c r="P73" s="75">
        <f>P47</f>
        <v>0</v>
      </c>
      <c r="Q73" s="75">
        <f>Q47</f>
        <v>0</v>
      </c>
      <c r="R73" s="75">
        <f>R47</f>
        <v>0</v>
      </c>
      <c r="S73" s="75">
        <f>S47</f>
        <v>0</v>
      </c>
      <c r="T73" s="75">
        <f>T47</f>
        <v>0</v>
      </c>
      <c r="U73" s="75">
        <f>U47</f>
        <v>0</v>
      </c>
      <c r="V73" s="75">
        <f>V47</f>
        <v>0</v>
      </c>
      <c r="W73" s="75">
        <f>W47</f>
        <v>0</v>
      </c>
      <c r="X73" s="75">
        <f>X47</f>
        <v>0</v>
      </c>
      <c r="Y73" s="75">
        <f>Y47</f>
        <v>0</v>
      </c>
      <c r="Z73" s="75">
        <f>Z47</f>
        <v>0</v>
      </c>
      <c r="AA73" s="75">
        <f>AA47</f>
        <v>0</v>
      </c>
      <c r="AB73" s="75">
        <f>AB47</f>
        <v>0</v>
      </c>
      <c r="AC73" s="75">
        <f>AC47</f>
        <v>0</v>
      </c>
      <c r="AD73" s="75">
        <f>AD47</f>
        <v>0</v>
      </c>
      <c r="AE73" s="75">
        <f>AE47</f>
        <v>0</v>
      </c>
      <c r="AF73" s="75">
        <f>AF47</f>
        <v>0</v>
      </c>
      <c r="AG73" s="75">
        <f>AG47</f>
        <v>0</v>
      </c>
      <c r="AH73" s="75">
        <f>AH47</f>
        <v>0</v>
      </c>
      <c r="AI73" s="75">
        <f>AI47</f>
        <v>0</v>
      </c>
      <c r="AJ73" s="75">
        <f>AJ47</f>
        <v>0</v>
      </c>
      <c r="AK73" s="75">
        <f>AK47</f>
        <v>0</v>
      </c>
      <c r="AL73" s="75">
        <f>AL47</f>
        <v>0</v>
      </c>
      <c r="AM73" s="75">
        <f>AM47</f>
        <v>0</v>
      </c>
      <c r="AN73" s="75">
        <f>AN47</f>
        <v>0</v>
      </c>
      <c r="AO73" s="75">
        <f>AO47</f>
        <v>0</v>
      </c>
      <c r="AP73" s="75">
        <f>AP47</f>
        <v>0</v>
      </c>
      <c r="AQ73" s="75">
        <f>AQ47</f>
        <v>0</v>
      </c>
    </row>
    <row r="74" spans="2:43" outlineLevel="1" x14ac:dyDescent="0.3">
      <c r="C74" s="77" t="s">
        <v>76</v>
      </c>
      <c r="D74" s="49" t="s">
        <v>98</v>
      </c>
      <c r="H74" s="89">
        <f>SUM(I74:AO74)</f>
        <v>-0.21500000000000019</v>
      </c>
      <c r="I74" s="75">
        <f>-IF(I69&gt;0,MIN(SUM(I72:I73),I69),0)</f>
        <v>0</v>
      </c>
      <c r="J74" s="75">
        <f t="shared" ref="J74:AO74" si="18">-IF(J69&gt;0,MIN(SUM(J72:J73),J69),0)</f>
        <v>0</v>
      </c>
      <c r="K74" s="75">
        <f t="shared" si="18"/>
        <v>0</v>
      </c>
      <c r="L74" s="75">
        <f t="shared" si="18"/>
        <v>0</v>
      </c>
      <c r="M74" s="75">
        <f t="shared" si="18"/>
        <v>0</v>
      </c>
      <c r="N74" s="75">
        <f t="shared" si="18"/>
        <v>0</v>
      </c>
      <c r="O74" s="75">
        <f t="shared" si="18"/>
        <v>0</v>
      </c>
      <c r="P74" s="75">
        <f t="shared" si="18"/>
        <v>-0.17360429992205206</v>
      </c>
      <c r="Q74" s="75">
        <f t="shared" si="18"/>
        <v>-4.1395700077948128E-2</v>
      </c>
      <c r="R74" s="75">
        <f t="shared" si="18"/>
        <v>0</v>
      </c>
      <c r="S74" s="75">
        <f t="shared" si="18"/>
        <v>0</v>
      </c>
      <c r="T74" s="75">
        <f t="shared" si="18"/>
        <v>0</v>
      </c>
      <c r="U74" s="75">
        <f t="shared" si="18"/>
        <v>0</v>
      </c>
      <c r="V74" s="75">
        <f t="shared" si="18"/>
        <v>0</v>
      </c>
      <c r="W74" s="75">
        <f t="shared" si="18"/>
        <v>0</v>
      </c>
      <c r="X74" s="75">
        <f t="shared" si="18"/>
        <v>0</v>
      </c>
      <c r="Y74" s="75">
        <f t="shared" si="18"/>
        <v>0</v>
      </c>
      <c r="Z74" s="75">
        <f t="shared" si="18"/>
        <v>0</v>
      </c>
      <c r="AA74" s="75">
        <f t="shared" si="18"/>
        <v>0</v>
      </c>
      <c r="AB74" s="75">
        <f t="shared" si="18"/>
        <v>0</v>
      </c>
      <c r="AC74" s="75">
        <f t="shared" si="18"/>
        <v>0</v>
      </c>
      <c r="AD74" s="75">
        <f t="shared" si="18"/>
        <v>0</v>
      </c>
      <c r="AE74" s="75">
        <f t="shared" si="18"/>
        <v>0</v>
      </c>
      <c r="AF74" s="75">
        <f t="shared" si="18"/>
        <v>0</v>
      </c>
      <c r="AG74" s="75">
        <f t="shared" si="18"/>
        <v>0</v>
      </c>
      <c r="AH74" s="75">
        <f t="shared" si="18"/>
        <v>0</v>
      </c>
      <c r="AI74" s="75">
        <f t="shared" si="18"/>
        <v>0</v>
      </c>
      <c r="AJ74" s="75">
        <f t="shared" si="18"/>
        <v>0</v>
      </c>
      <c r="AK74" s="75">
        <f t="shared" si="18"/>
        <v>0</v>
      </c>
      <c r="AL74" s="75">
        <f t="shared" si="18"/>
        <v>0</v>
      </c>
      <c r="AM74" s="75">
        <f t="shared" si="18"/>
        <v>0</v>
      </c>
      <c r="AN74" s="75">
        <f t="shared" si="18"/>
        <v>0</v>
      </c>
      <c r="AO74" s="75">
        <f t="shared" si="18"/>
        <v>0</v>
      </c>
      <c r="AP74" s="75">
        <f t="shared" ref="AP74:AQ74" si="19">-IF(AP69&gt;0,MIN(SUM(AP72:AP73),AP69),0)</f>
        <v>0</v>
      </c>
      <c r="AQ74" s="75">
        <f t="shared" si="19"/>
        <v>0</v>
      </c>
    </row>
    <row r="75" spans="2:43" outlineLevel="1" x14ac:dyDescent="0.3">
      <c r="C75" s="112" t="s">
        <v>78</v>
      </c>
      <c r="D75" s="113" t="s">
        <v>98</v>
      </c>
      <c r="E75" s="114"/>
      <c r="F75" s="114"/>
      <c r="G75" s="114"/>
      <c r="H75" s="115"/>
      <c r="I75" s="116">
        <f>SUM(I72:I74)</f>
        <v>2.0000000000000018E-2</v>
      </c>
      <c r="J75" s="116">
        <f t="shared" ref="J75:AQ75" si="20">SUM(J72:J74)</f>
        <v>5.0000000000000044E-2</v>
      </c>
      <c r="K75" s="116">
        <f t="shared" si="20"/>
        <v>9.000000000000008E-2</v>
      </c>
      <c r="L75" s="116">
        <f t="shared" si="20"/>
        <v>0.14000000000000012</v>
      </c>
      <c r="M75" s="116">
        <f t="shared" si="20"/>
        <v>0.18000000000000016</v>
      </c>
      <c r="N75" s="116">
        <f t="shared" si="20"/>
        <v>0.21500000000000019</v>
      </c>
      <c r="O75" s="116">
        <f t="shared" si="20"/>
        <v>0.21500000000000019</v>
      </c>
      <c r="P75" s="116">
        <f t="shared" si="20"/>
        <v>4.1395700077948128E-2</v>
      </c>
      <c r="Q75" s="116">
        <f t="shared" si="20"/>
        <v>0</v>
      </c>
      <c r="R75" s="116">
        <f t="shared" si="20"/>
        <v>0</v>
      </c>
      <c r="S75" s="116">
        <f t="shared" si="20"/>
        <v>0</v>
      </c>
      <c r="T75" s="116">
        <f t="shared" si="20"/>
        <v>0</v>
      </c>
      <c r="U75" s="116">
        <f t="shared" si="20"/>
        <v>0</v>
      </c>
      <c r="V75" s="116">
        <f t="shared" si="20"/>
        <v>0</v>
      </c>
      <c r="W75" s="116">
        <f t="shared" si="20"/>
        <v>0</v>
      </c>
      <c r="X75" s="116">
        <f t="shared" si="20"/>
        <v>0</v>
      </c>
      <c r="Y75" s="116">
        <f t="shared" si="20"/>
        <v>0</v>
      </c>
      <c r="Z75" s="116">
        <f t="shared" si="20"/>
        <v>0</v>
      </c>
      <c r="AA75" s="116">
        <f t="shared" si="20"/>
        <v>0</v>
      </c>
      <c r="AB75" s="116">
        <f t="shared" si="20"/>
        <v>0</v>
      </c>
      <c r="AC75" s="116">
        <f t="shared" si="20"/>
        <v>0</v>
      </c>
      <c r="AD75" s="116">
        <f t="shared" si="20"/>
        <v>0</v>
      </c>
      <c r="AE75" s="116">
        <f t="shared" si="20"/>
        <v>0</v>
      </c>
      <c r="AF75" s="116">
        <f t="shared" si="20"/>
        <v>0</v>
      </c>
      <c r="AG75" s="116">
        <f t="shared" si="20"/>
        <v>0</v>
      </c>
      <c r="AH75" s="116">
        <f t="shared" si="20"/>
        <v>0</v>
      </c>
      <c r="AI75" s="116">
        <f t="shared" si="20"/>
        <v>0</v>
      </c>
      <c r="AJ75" s="116">
        <f t="shared" si="20"/>
        <v>0</v>
      </c>
      <c r="AK75" s="116">
        <f t="shared" si="20"/>
        <v>0</v>
      </c>
      <c r="AL75" s="116">
        <f t="shared" si="20"/>
        <v>0</v>
      </c>
      <c r="AM75" s="116">
        <f t="shared" si="20"/>
        <v>0</v>
      </c>
      <c r="AN75" s="116">
        <f t="shared" si="20"/>
        <v>0</v>
      </c>
      <c r="AO75" s="116">
        <f t="shared" si="20"/>
        <v>0</v>
      </c>
      <c r="AP75" s="116">
        <f t="shared" si="20"/>
        <v>0</v>
      </c>
      <c r="AQ75" s="116">
        <f t="shared" si="20"/>
        <v>0</v>
      </c>
    </row>
    <row r="76" spans="2:43" s="117" customFormat="1" outlineLevel="1" x14ac:dyDescent="0.3">
      <c r="D76" s="118"/>
      <c r="H76" s="119"/>
    </row>
    <row r="77" spans="2:43" outlineLevel="1" x14ac:dyDescent="0.3">
      <c r="C77" s="57" t="s">
        <v>79</v>
      </c>
      <c r="D77" s="49" t="s">
        <v>98</v>
      </c>
      <c r="H77" s="89">
        <f>SUM(I77:AO77)</f>
        <v>56.952948258507973</v>
      </c>
      <c r="I77" s="58">
        <f>I69+I74</f>
        <v>0</v>
      </c>
      <c r="J77" s="58">
        <f t="shared" ref="J77:AQ77" si="21">J69+J74</f>
        <v>0</v>
      </c>
      <c r="K77" s="58">
        <f t="shared" si="21"/>
        <v>0</v>
      </c>
      <c r="L77" s="58">
        <f t="shared" si="21"/>
        <v>0</v>
      </c>
      <c r="M77" s="58">
        <f t="shared" si="21"/>
        <v>0</v>
      </c>
      <c r="N77" s="58">
        <f t="shared" si="21"/>
        <v>0</v>
      </c>
      <c r="O77" s="58">
        <f t="shared" si="21"/>
        <v>0</v>
      </c>
      <c r="P77" s="58">
        <f t="shared" si="21"/>
        <v>0</v>
      </c>
      <c r="Q77" s="58">
        <f t="shared" si="21"/>
        <v>0.15835258362897131</v>
      </c>
      <c r="R77" s="58">
        <f t="shared" si="21"/>
        <v>0.2287701724840534</v>
      </c>
      <c r="S77" s="58">
        <f t="shared" si="21"/>
        <v>0.69656539729317191</v>
      </c>
      <c r="T77" s="58">
        <f t="shared" si="21"/>
        <v>0.98886751510465909</v>
      </c>
      <c r="U77" s="58">
        <f t="shared" si="21"/>
        <v>1.1207074905376255</v>
      </c>
      <c r="V77" s="58">
        <f t="shared" si="21"/>
        <v>1.2667200602315636</v>
      </c>
      <c r="W77" s="58">
        <f t="shared" si="21"/>
        <v>1.4283521415141012</v>
      </c>
      <c r="X77" s="58">
        <f t="shared" si="21"/>
        <v>1.6071962331826735</v>
      </c>
      <c r="Y77" s="58">
        <f t="shared" si="21"/>
        <v>1.767915856500941</v>
      </c>
      <c r="Z77" s="58">
        <f t="shared" si="21"/>
        <v>1.9447074421510351</v>
      </c>
      <c r="AA77" s="58">
        <f t="shared" si="21"/>
        <v>2.1391781863661388</v>
      </c>
      <c r="AB77" s="58">
        <f t="shared" si="21"/>
        <v>2.3530960050027532</v>
      </c>
      <c r="AC77" s="58">
        <f t="shared" si="21"/>
        <v>2.5884056055030289</v>
      </c>
      <c r="AD77" s="58">
        <f t="shared" si="21"/>
        <v>2.8472461660533317</v>
      </c>
      <c r="AE77" s="58">
        <f t="shared" si="21"/>
        <v>3.1319707826586654</v>
      </c>
      <c r="AF77" s="58">
        <f t="shared" si="21"/>
        <v>3.4451678609245318</v>
      </c>
      <c r="AG77" s="58">
        <f t="shared" si="21"/>
        <v>3.7896846470169852</v>
      </c>
      <c r="AH77" s="58">
        <f t="shared" si="21"/>
        <v>4.168653111718684</v>
      </c>
      <c r="AI77" s="58">
        <f t="shared" si="21"/>
        <v>4.5855184228905532</v>
      </c>
      <c r="AJ77" s="58">
        <f t="shared" si="21"/>
        <v>5.0440702651796085</v>
      </c>
      <c r="AK77" s="58">
        <f t="shared" si="21"/>
        <v>5.5484772916975702</v>
      </c>
      <c r="AL77" s="58">
        <f t="shared" si="21"/>
        <v>6.1033250208673273</v>
      </c>
      <c r="AM77" s="58">
        <f t="shared" si="21"/>
        <v>0</v>
      </c>
      <c r="AN77" s="58">
        <f t="shared" si="21"/>
        <v>0</v>
      </c>
      <c r="AO77" s="58">
        <f t="shared" si="21"/>
        <v>0</v>
      </c>
      <c r="AP77" s="58">
        <f t="shared" si="21"/>
        <v>0</v>
      </c>
      <c r="AQ77" s="58">
        <f t="shared" si="21"/>
        <v>0</v>
      </c>
    </row>
    <row r="78" spans="2:43" outlineLevel="1" x14ac:dyDescent="0.3">
      <c r="H78" s="90"/>
    </row>
    <row r="79" spans="2:43" outlineLevel="1" x14ac:dyDescent="0.3">
      <c r="B79" s="48" t="s">
        <v>80</v>
      </c>
      <c r="C79" s="74"/>
      <c r="H79" s="90"/>
    </row>
    <row r="80" spans="2:43" outlineLevel="1" x14ac:dyDescent="0.3">
      <c r="C80" s="51" t="s">
        <v>81</v>
      </c>
      <c r="D80" s="49" t="s">
        <v>98</v>
      </c>
      <c r="H80" s="89">
        <f>SUM(I80:AO80)</f>
        <v>199.08385121111394</v>
      </c>
      <c r="I80" s="58">
        <f>I54</f>
        <v>0.27692307692307705</v>
      </c>
      <c r="J80" s="58">
        <f>J54</f>
        <v>0.30461538461538473</v>
      </c>
      <c r="K80" s="58">
        <f>K54</f>
        <v>0.33507692307692327</v>
      </c>
      <c r="L80" s="58">
        <f>L54</f>
        <v>0.36858461538461551</v>
      </c>
      <c r="M80" s="58">
        <f>M54</f>
        <v>0.40544307692307724</v>
      </c>
      <c r="N80" s="58">
        <f>N54</f>
        <v>0.44598738461538479</v>
      </c>
      <c r="O80" s="58">
        <f>O54</f>
        <v>0.49058612307692329</v>
      </c>
      <c r="P80" s="58">
        <f>P54</f>
        <v>0.64082812326923122</v>
      </c>
      <c r="Q80" s="58">
        <f>Q54</f>
        <v>0.70491093559615425</v>
      </c>
      <c r="R80" s="58">
        <f>R54</f>
        <v>0.77540202915576995</v>
      </c>
      <c r="S80" s="58">
        <f>S54</f>
        <v>0.85294223207134667</v>
      </c>
      <c r="T80" s="58">
        <f>T54</f>
        <v>0.93823645527848143</v>
      </c>
      <c r="U80" s="58">
        <f>U54</f>
        <v>1.0320601008063295</v>
      </c>
      <c r="V80" s="58">
        <f>V54</f>
        <v>1.1352661108869628</v>
      </c>
      <c r="W80" s="58">
        <f>W54</f>
        <v>1.2487927219756596</v>
      </c>
      <c r="X80" s="58">
        <f>X54</f>
        <v>5.9525786414173085</v>
      </c>
      <c r="Y80" s="58">
        <f>Y54</f>
        <v>6.5478365055590402</v>
      </c>
      <c r="Z80" s="58">
        <f>Z54</f>
        <v>7.2026201561149445</v>
      </c>
      <c r="AA80" s="58">
        <f>AA54</f>
        <v>7.9228821717264397</v>
      </c>
      <c r="AB80" s="58">
        <f>AB54</f>
        <v>8.7151703888990859</v>
      </c>
      <c r="AC80" s="58">
        <f>AC54</f>
        <v>9.5866874277889949</v>
      </c>
      <c r="AD80" s="58">
        <f>AD54</f>
        <v>10.545356170567894</v>
      </c>
      <c r="AE80" s="58">
        <f>AE54</f>
        <v>11.599891787624685</v>
      </c>
      <c r="AF80" s="58">
        <f>AF54</f>
        <v>12.759880966387154</v>
      </c>
      <c r="AG80" s="58">
        <f>AG54</f>
        <v>14.035869063025871</v>
      </c>
      <c r="AH80" s="58">
        <f>AH54</f>
        <v>15.439455969328458</v>
      </c>
      <c r="AI80" s="58">
        <f>AI54</f>
        <v>16.983401566261307</v>
      </c>
      <c r="AJ80" s="58">
        <f>AJ54</f>
        <v>18.681741722887438</v>
      </c>
      <c r="AK80" s="58">
        <f>AK54</f>
        <v>20.549915895176184</v>
      </c>
      <c r="AL80" s="58">
        <f>AL54</f>
        <v>22.604907484693804</v>
      </c>
      <c r="AM80" s="58">
        <f>AM54</f>
        <v>0</v>
      </c>
      <c r="AN80" s="58">
        <f>AN54</f>
        <v>0</v>
      </c>
      <c r="AO80" s="58">
        <f>AO54</f>
        <v>0</v>
      </c>
      <c r="AP80" s="58">
        <f>AP54</f>
        <v>0</v>
      </c>
      <c r="AQ80" s="58">
        <f>AQ54</f>
        <v>0</v>
      </c>
    </row>
    <row r="81" spans="1:43" outlineLevel="1" x14ac:dyDescent="0.3">
      <c r="C81" s="51" t="s">
        <v>82</v>
      </c>
      <c r="D81" s="49" t="s">
        <v>98</v>
      </c>
      <c r="H81" s="91">
        <f>SUM(I81:AO81)</f>
        <v>-56.952948258507973</v>
      </c>
      <c r="I81" s="58">
        <f>-I77</f>
        <v>0</v>
      </c>
      <c r="J81" s="58">
        <f>-J77</f>
        <v>0</v>
      </c>
      <c r="K81" s="58">
        <f>-K77</f>
        <v>0</v>
      </c>
      <c r="L81" s="58">
        <f>-L77</f>
        <v>0</v>
      </c>
      <c r="M81" s="58">
        <f>-M77</f>
        <v>0</v>
      </c>
      <c r="N81" s="58">
        <f>-N77</f>
        <v>0</v>
      </c>
      <c r="O81" s="58">
        <f>-O77</f>
        <v>0</v>
      </c>
      <c r="P81" s="58">
        <f>-P77</f>
        <v>0</v>
      </c>
      <c r="Q81" s="58">
        <f>-Q77</f>
        <v>-0.15835258362897131</v>
      </c>
      <c r="R81" s="58">
        <f>-R77</f>
        <v>-0.2287701724840534</v>
      </c>
      <c r="S81" s="58">
        <f>-S77</f>
        <v>-0.69656539729317191</v>
      </c>
      <c r="T81" s="58">
        <f>-T77</f>
        <v>-0.98886751510465909</v>
      </c>
      <c r="U81" s="58">
        <f>-U77</f>
        <v>-1.1207074905376255</v>
      </c>
      <c r="V81" s="58">
        <f>-V77</f>
        <v>-1.2667200602315636</v>
      </c>
      <c r="W81" s="58">
        <f>-W77</f>
        <v>-1.4283521415141012</v>
      </c>
      <c r="X81" s="58">
        <f>-X77</f>
        <v>-1.6071962331826735</v>
      </c>
      <c r="Y81" s="58">
        <f>-Y77</f>
        <v>-1.767915856500941</v>
      </c>
      <c r="Z81" s="58">
        <f>-Z77</f>
        <v>-1.9447074421510351</v>
      </c>
      <c r="AA81" s="58">
        <f>-AA77</f>
        <v>-2.1391781863661388</v>
      </c>
      <c r="AB81" s="58">
        <f>-AB77</f>
        <v>-2.3530960050027532</v>
      </c>
      <c r="AC81" s="58">
        <f>-AC77</f>
        <v>-2.5884056055030289</v>
      </c>
      <c r="AD81" s="58">
        <f>-AD77</f>
        <v>-2.8472461660533317</v>
      </c>
      <c r="AE81" s="58">
        <f>-AE77</f>
        <v>-3.1319707826586654</v>
      </c>
      <c r="AF81" s="58">
        <f>-AF77</f>
        <v>-3.4451678609245318</v>
      </c>
      <c r="AG81" s="58">
        <f>-AG77</f>
        <v>-3.7896846470169852</v>
      </c>
      <c r="AH81" s="58">
        <f>-AH77</f>
        <v>-4.168653111718684</v>
      </c>
      <c r="AI81" s="58">
        <f>-AI77</f>
        <v>-4.5855184228905532</v>
      </c>
      <c r="AJ81" s="58">
        <f>-AJ77</f>
        <v>-5.0440702651796085</v>
      </c>
      <c r="AK81" s="58">
        <f>-AK77</f>
        <v>-5.5484772916975702</v>
      </c>
      <c r="AL81" s="58">
        <f>-AL77</f>
        <v>-6.1033250208673273</v>
      </c>
      <c r="AM81" s="58">
        <f>-AM77</f>
        <v>0</v>
      </c>
      <c r="AN81" s="58">
        <f>-AN77</f>
        <v>0</v>
      </c>
      <c r="AO81" s="58">
        <f>-AO77</f>
        <v>0</v>
      </c>
      <c r="AP81" s="58">
        <f>-AP77</f>
        <v>0</v>
      </c>
      <c r="AQ81" s="58">
        <f>-AQ77</f>
        <v>0</v>
      </c>
    </row>
    <row r="82" spans="1:43" ht="15" outlineLevel="1" thickBot="1" x14ac:dyDescent="0.35">
      <c r="C82" s="82" t="s">
        <v>83</v>
      </c>
      <c r="D82" s="83" t="s">
        <v>98</v>
      </c>
      <c r="E82" s="84"/>
      <c r="F82" s="84"/>
      <c r="G82" s="84"/>
      <c r="H82" s="89">
        <f>SUM(I82:AO82)</f>
        <v>142.13090295260594</v>
      </c>
      <c r="I82" s="52">
        <f>SUM(I80:I81)</f>
        <v>0.27692307692307705</v>
      </c>
      <c r="J82" s="52">
        <f t="shared" ref="J82:AQ82" si="22">SUM(J80:J81)</f>
        <v>0.30461538461538473</v>
      </c>
      <c r="K82" s="52">
        <f t="shared" si="22"/>
        <v>0.33507692307692327</v>
      </c>
      <c r="L82" s="52">
        <f t="shared" si="22"/>
        <v>0.36858461538461551</v>
      </c>
      <c r="M82" s="52">
        <f t="shared" si="22"/>
        <v>0.40544307692307724</v>
      </c>
      <c r="N82" s="52">
        <f t="shared" si="22"/>
        <v>0.44598738461538479</v>
      </c>
      <c r="O82" s="52">
        <f t="shared" si="22"/>
        <v>0.49058612307692329</v>
      </c>
      <c r="P82" s="52">
        <f t="shared" si="22"/>
        <v>0.64082812326923122</v>
      </c>
      <c r="Q82" s="52">
        <f t="shared" si="22"/>
        <v>0.54655835196718294</v>
      </c>
      <c r="R82" s="52">
        <f t="shared" si="22"/>
        <v>0.54663185667171654</v>
      </c>
      <c r="S82" s="52">
        <f t="shared" si="22"/>
        <v>0.15637683477817477</v>
      </c>
      <c r="T82" s="52">
        <f t="shared" si="22"/>
        <v>-5.063105982617766E-2</v>
      </c>
      <c r="U82" s="52">
        <f t="shared" si="22"/>
        <v>-8.8647389731296045E-2</v>
      </c>
      <c r="V82" s="52">
        <f t="shared" si="22"/>
        <v>-0.13145394934460075</v>
      </c>
      <c r="W82" s="52">
        <f t="shared" si="22"/>
        <v>-0.17955941953844157</v>
      </c>
      <c r="X82" s="52">
        <f t="shared" si="22"/>
        <v>4.3453824082346353</v>
      </c>
      <c r="Y82" s="52">
        <f t="shared" si="22"/>
        <v>4.7799206490580994</v>
      </c>
      <c r="Z82" s="52">
        <f t="shared" si="22"/>
        <v>5.2579127139639095</v>
      </c>
      <c r="AA82" s="52">
        <f t="shared" si="22"/>
        <v>5.7837039853603009</v>
      </c>
      <c r="AB82" s="52">
        <f t="shared" si="22"/>
        <v>6.3620743838963332</v>
      </c>
      <c r="AC82" s="52">
        <f t="shared" si="22"/>
        <v>6.998281822285966</v>
      </c>
      <c r="AD82" s="52">
        <f t="shared" si="22"/>
        <v>7.6981100045145627</v>
      </c>
      <c r="AE82" s="52">
        <f t="shared" si="22"/>
        <v>8.4679210049660192</v>
      </c>
      <c r="AF82" s="52">
        <f t="shared" si="22"/>
        <v>9.3147131054626229</v>
      </c>
      <c r="AG82" s="52">
        <f t="shared" si="22"/>
        <v>10.246184416008886</v>
      </c>
      <c r="AH82" s="52">
        <f t="shared" si="22"/>
        <v>11.270802857609773</v>
      </c>
      <c r="AI82" s="52">
        <f t="shared" si="22"/>
        <v>12.397883143370754</v>
      </c>
      <c r="AJ82" s="52">
        <f t="shared" si="22"/>
        <v>13.637671457707828</v>
      </c>
      <c r="AK82" s="52">
        <f t="shared" si="22"/>
        <v>15.001438603478615</v>
      </c>
      <c r="AL82" s="52">
        <f t="shared" si="22"/>
        <v>16.501582463826477</v>
      </c>
      <c r="AM82" s="52">
        <f t="shared" si="22"/>
        <v>0</v>
      </c>
      <c r="AN82" s="52">
        <f t="shared" si="22"/>
        <v>0</v>
      </c>
      <c r="AO82" s="52">
        <f t="shared" si="22"/>
        <v>0</v>
      </c>
      <c r="AP82" s="52">
        <f t="shared" si="22"/>
        <v>0</v>
      </c>
      <c r="AQ82" s="52">
        <f t="shared" si="22"/>
        <v>0</v>
      </c>
    </row>
    <row r="83" spans="1:43" outlineLevel="1" x14ac:dyDescent="0.3">
      <c r="E83" s="66" t="s">
        <v>4</v>
      </c>
      <c r="F83" s="67" t="s">
        <v>5</v>
      </c>
      <c r="H83" s="68" t="s">
        <v>84</v>
      </c>
    </row>
    <row r="84" spans="1:43" ht="15" outlineLevel="1" thickBot="1" x14ac:dyDescent="0.35">
      <c r="C84" s="51" t="s">
        <v>85</v>
      </c>
      <c r="D84" s="49" t="s">
        <v>98</v>
      </c>
      <c r="E84" s="69">
        <f>Inputs!$H$10-E43-F53</f>
        <v>36.665754378853251</v>
      </c>
      <c r="F84" s="70">
        <f>IRR(H84:AO84)</f>
        <v>5.9970788403969744E-2</v>
      </c>
      <c r="H84" s="128">
        <f>-E84</f>
        <v>-36.665754378853251</v>
      </c>
      <c r="I84" s="58">
        <f>I82</f>
        <v>0.27692307692307705</v>
      </c>
      <c r="J84" s="58">
        <f t="shared" ref="J84:AQ84" si="23">J82</f>
        <v>0.30461538461538473</v>
      </c>
      <c r="K84" s="58">
        <f t="shared" si="23"/>
        <v>0.33507692307692327</v>
      </c>
      <c r="L84" s="58">
        <f t="shared" si="23"/>
        <v>0.36858461538461551</v>
      </c>
      <c r="M84" s="58">
        <f t="shared" si="23"/>
        <v>0.40544307692307724</v>
      </c>
      <c r="N84" s="58">
        <f t="shared" si="23"/>
        <v>0.44598738461538479</v>
      </c>
      <c r="O84" s="58">
        <f t="shared" si="23"/>
        <v>0.49058612307692329</v>
      </c>
      <c r="P84" s="58">
        <f t="shared" si="23"/>
        <v>0.64082812326923122</v>
      </c>
      <c r="Q84" s="58">
        <f t="shared" si="23"/>
        <v>0.54655835196718294</v>
      </c>
      <c r="R84" s="58">
        <f t="shared" si="23"/>
        <v>0.54663185667171654</v>
      </c>
      <c r="S84" s="58">
        <f t="shared" si="23"/>
        <v>0.15637683477817477</v>
      </c>
      <c r="T84" s="58">
        <f t="shared" si="23"/>
        <v>-5.063105982617766E-2</v>
      </c>
      <c r="U84" s="58">
        <f t="shared" si="23"/>
        <v>-8.8647389731296045E-2</v>
      </c>
      <c r="V84" s="58">
        <f t="shared" si="23"/>
        <v>-0.13145394934460075</v>
      </c>
      <c r="W84" s="58">
        <f t="shared" si="23"/>
        <v>-0.17955941953844157</v>
      </c>
      <c r="X84" s="58">
        <f t="shared" si="23"/>
        <v>4.3453824082346353</v>
      </c>
      <c r="Y84" s="58">
        <f t="shared" si="23"/>
        <v>4.7799206490580994</v>
      </c>
      <c r="Z84" s="58">
        <f t="shared" si="23"/>
        <v>5.2579127139639095</v>
      </c>
      <c r="AA84" s="58">
        <f t="shared" si="23"/>
        <v>5.7837039853603009</v>
      </c>
      <c r="AB84" s="58">
        <f t="shared" si="23"/>
        <v>6.3620743838963332</v>
      </c>
      <c r="AC84" s="58">
        <f t="shared" si="23"/>
        <v>6.998281822285966</v>
      </c>
      <c r="AD84" s="58">
        <f t="shared" si="23"/>
        <v>7.6981100045145627</v>
      </c>
      <c r="AE84" s="58">
        <f t="shared" si="23"/>
        <v>8.4679210049660192</v>
      </c>
      <c r="AF84" s="58">
        <f t="shared" si="23"/>
        <v>9.3147131054626229</v>
      </c>
      <c r="AG84" s="58">
        <f t="shared" si="23"/>
        <v>10.246184416008886</v>
      </c>
      <c r="AH84" s="58">
        <f t="shared" si="23"/>
        <v>11.270802857609773</v>
      </c>
      <c r="AI84" s="58">
        <f t="shared" si="23"/>
        <v>12.397883143370754</v>
      </c>
      <c r="AJ84" s="58">
        <f t="shared" si="23"/>
        <v>13.637671457707828</v>
      </c>
      <c r="AK84" s="58">
        <f t="shared" si="23"/>
        <v>15.001438603478615</v>
      </c>
      <c r="AL84" s="58">
        <f t="shared" si="23"/>
        <v>16.501582463826477</v>
      </c>
      <c r="AM84" s="58">
        <f t="shared" si="23"/>
        <v>0</v>
      </c>
      <c r="AN84" s="58">
        <f t="shared" si="23"/>
        <v>0</v>
      </c>
      <c r="AO84" s="58">
        <f t="shared" si="23"/>
        <v>0</v>
      </c>
      <c r="AP84" s="58">
        <f t="shared" si="23"/>
        <v>0</v>
      </c>
      <c r="AQ84" s="58">
        <f t="shared" si="23"/>
        <v>0</v>
      </c>
    </row>
    <row r="85" spans="1:43" x14ac:dyDescent="0.3">
      <c r="H85" s="90"/>
    </row>
    <row r="86" spans="1:43" s="111" customFormat="1" ht="18" x14ac:dyDescent="0.35">
      <c r="A86" s="108" t="s">
        <v>86</v>
      </c>
      <c r="B86" s="109"/>
      <c r="C86" s="109"/>
      <c r="D86" s="110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</row>
    <row r="87" spans="1:43" outlineLevel="1" x14ac:dyDescent="0.3">
      <c r="C87" s="74" t="s">
        <v>97</v>
      </c>
      <c r="H87" s="95"/>
    </row>
    <row r="88" spans="1:43" outlineLevel="1" x14ac:dyDescent="0.3">
      <c r="C88" s="127" t="str">
        <f>$C$37</f>
        <v>Tax Benefit</v>
      </c>
      <c r="D88" s="49" t="s">
        <v>98</v>
      </c>
      <c r="H88" s="89">
        <f t="shared" ref="H88:H91" si="24">SUM(I88:AO88)</f>
        <v>-39.890079188990057</v>
      </c>
      <c r="I88" s="58">
        <f>-I13*$F$69</f>
        <v>4.9410000000000007</v>
      </c>
      <c r="J88" s="58">
        <f t="shared" ref="J88:AQ88" si="25">-J13*$F$69</f>
        <v>8.1081000000000003</v>
      </c>
      <c r="K88" s="58">
        <f t="shared" si="25"/>
        <v>4.6421099999999997</v>
      </c>
      <c r="L88" s="58">
        <f t="shared" si="25"/>
        <v>2.540241</v>
      </c>
      <c r="M88" s="58">
        <f t="shared" si="25"/>
        <v>2.4863354999999996</v>
      </c>
      <c r="N88" s="58">
        <f t="shared" si="25"/>
        <v>0.88739144999999986</v>
      </c>
      <c r="O88" s="58">
        <f t="shared" si="25"/>
        <v>-0.71748220500000037</v>
      </c>
      <c r="P88" s="58">
        <f t="shared" si="25"/>
        <v>-0.78923042550000055</v>
      </c>
      <c r="Q88" s="58">
        <f t="shared" si="25"/>
        <v>-0.8681534680500006</v>
      </c>
      <c r="R88" s="58">
        <f t="shared" si="25"/>
        <v>-0.95496881485500063</v>
      </c>
      <c r="S88" s="58">
        <f t="shared" si="25"/>
        <v>-1.0504656963405008</v>
      </c>
      <c r="T88" s="58">
        <f t="shared" si="25"/>
        <v>-1.1555122659745509</v>
      </c>
      <c r="U88" s="58">
        <f t="shared" si="25"/>
        <v>-1.2710634925720059</v>
      </c>
      <c r="V88" s="58">
        <f t="shared" si="25"/>
        <v>-1.3981698418292066</v>
      </c>
      <c r="W88" s="58">
        <f t="shared" si="25"/>
        <v>-1.5379868260121277</v>
      </c>
      <c r="X88" s="58">
        <f t="shared" si="25"/>
        <v>-1.6917855086133404</v>
      </c>
      <c r="Y88" s="58">
        <f t="shared" si="25"/>
        <v>-1.8609640594746748</v>
      </c>
      <c r="Z88" s="58">
        <f t="shared" si="25"/>
        <v>-2.0470604654221423</v>
      </c>
      <c r="AA88" s="58">
        <f t="shared" si="25"/>
        <v>-2.2517665119643571</v>
      </c>
      <c r="AB88" s="58">
        <f t="shared" si="25"/>
        <v>-2.4769431631607928</v>
      </c>
      <c r="AC88" s="58">
        <f t="shared" si="25"/>
        <v>-2.7246374794768724</v>
      </c>
      <c r="AD88" s="58">
        <f t="shared" si="25"/>
        <v>-2.9971012274245599</v>
      </c>
      <c r="AE88" s="58">
        <f t="shared" si="25"/>
        <v>-3.2968113501670162</v>
      </c>
      <c r="AF88" s="58">
        <f t="shared" si="25"/>
        <v>-3.6264924851837175</v>
      </c>
      <c r="AG88" s="58">
        <f t="shared" si="25"/>
        <v>-3.9891417337020898</v>
      </c>
      <c r="AH88" s="58">
        <f t="shared" si="25"/>
        <v>-4.3880559070722995</v>
      </c>
      <c r="AI88" s="58">
        <f t="shared" si="25"/>
        <v>-4.8268614977795306</v>
      </c>
      <c r="AJ88" s="58">
        <f t="shared" si="25"/>
        <v>-5.3095476475574834</v>
      </c>
      <c r="AK88" s="58">
        <f t="shared" si="25"/>
        <v>-5.8405024123132314</v>
      </c>
      <c r="AL88" s="58">
        <f t="shared" si="25"/>
        <v>-6.4245526535445556</v>
      </c>
      <c r="AM88" s="58">
        <f t="shared" si="25"/>
        <v>0</v>
      </c>
      <c r="AN88" s="58">
        <f t="shared" si="25"/>
        <v>0</v>
      </c>
      <c r="AO88" s="58">
        <f t="shared" si="25"/>
        <v>0</v>
      </c>
      <c r="AP88" s="58">
        <f t="shared" si="25"/>
        <v>0</v>
      </c>
      <c r="AQ88" s="58">
        <f t="shared" si="25"/>
        <v>0</v>
      </c>
    </row>
    <row r="89" spans="1:43" outlineLevel="1" x14ac:dyDescent="0.3">
      <c r="C89" s="127" t="str">
        <f>$C$38</f>
        <v>Tax Credit Benefit</v>
      </c>
      <c r="D89" s="49" t="s">
        <v>98</v>
      </c>
      <c r="H89" s="89">
        <f t="shared" si="24"/>
        <v>21.5</v>
      </c>
      <c r="I89" s="58">
        <f>I14</f>
        <v>2</v>
      </c>
      <c r="J89" s="58">
        <f>J14</f>
        <v>3</v>
      </c>
      <c r="K89" s="58">
        <f>K14</f>
        <v>4</v>
      </c>
      <c r="L89" s="58">
        <f>L14</f>
        <v>5</v>
      </c>
      <c r="M89" s="58">
        <f>M14</f>
        <v>4</v>
      </c>
      <c r="N89" s="58">
        <f>N14</f>
        <v>3.5</v>
      </c>
      <c r="O89" s="58">
        <f>O14</f>
        <v>0</v>
      </c>
      <c r="P89" s="58">
        <f>P14</f>
        <v>0</v>
      </c>
      <c r="Q89" s="58">
        <f>Q14</f>
        <v>0</v>
      </c>
      <c r="R89" s="58">
        <f>R14</f>
        <v>0</v>
      </c>
      <c r="S89" s="58">
        <f>S14</f>
        <v>0</v>
      </c>
      <c r="T89" s="58">
        <f>T14</f>
        <v>0</v>
      </c>
      <c r="U89" s="58">
        <f>U14</f>
        <v>0</v>
      </c>
      <c r="V89" s="58">
        <f>V14</f>
        <v>0</v>
      </c>
      <c r="W89" s="58">
        <f>W14</f>
        <v>0</v>
      </c>
      <c r="X89" s="58">
        <f>X14</f>
        <v>0</v>
      </c>
      <c r="Y89" s="58">
        <f>Y14</f>
        <v>0</v>
      </c>
      <c r="Z89" s="58">
        <f>Z14</f>
        <v>0</v>
      </c>
      <c r="AA89" s="58">
        <f>AA14</f>
        <v>0</v>
      </c>
      <c r="AB89" s="58">
        <f>AB14</f>
        <v>0</v>
      </c>
      <c r="AC89" s="58">
        <f>AC14</f>
        <v>0</v>
      </c>
      <c r="AD89" s="58">
        <f>AD14</f>
        <v>0</v>
      </c>
      <c r="AE89" s="58">
        <f>AE14</f>
        <v>0</v>
      </c>
      <c r="AF89" s="58">
        <f>AF14</f>
        <v>0</v>
      </c>
      <c r="AG89" s="58">
        <f>AG14</f>
        <v>0</v>
      </c>
      <c r="AH89" s="58">
        <f>AH14</f>
        <v>0</v>
      </c>
      <c r="AI89" s="58">
        <f>AI14</f>
        <v>0</v>
      </c>
      <c r="AJ89" s="58">
        <f>AJ14</f>
        <v>0</v>
      </c>
      <c r="AK89" s="58">
        <f>AK14</f>
        <v>0</v>
      </c>
      <c r="AL89" s="58">
        <f>AL14</f>
        <v>0</v>
      </c>
      <c r="AM89" s="58">
        <f>AM14</f>
        <v>0</v>
      </c>
      <c r="AN89" s="58">
        <f>AN14</f>
        <v>0</v>
      </c>
      <c r="AO89" s="58">
        <f>AO14</f>
        <v>0</v>
      </c>
      <c r="AP89" s="58">
        <f>AP14</f>
        <v>0</v>
      </c>
      <c r="AQ89" s="58">
        <f>AQ14</f>
        <v>0</v>
      </c>
    </row>
    <row r="90" spans="1:43" outlineLevel="1" x14ac:dyDescent="0.3">
      <c r="C90" s="127" t="str">
        <f>$C$39</f>
        <v>Cash Flow Benefit</v>
      </c>
      <c r="D90" s="49" t="s">
        <v>98</v>
      </c>
      <c r="H90" s="91">
        <f t="shared" si="24"/>
        <v>246.7410340332965</v>
      </c>
      <c r="I90" s="58">
        <f>I10</f>
        <v>1.5</v>
      </c>
      <c r="J90" s="58">
        <f>J10</f>
        <v>1.6500000000000001</v>
      </c>
      <c r="K90" s="58">
        <f>K10</f>
        <v>1.8150000000000004</v>
      </c>
      <c r="L90" s="58">
        <f>L10</f>
        <v>1.9965000000000006</v>
      </c>
      <c r="M90" s="58">
        <f>M10</f>
        <v>2.1961500000000007</v>
      </c>
      <c r="N90" s="58">
        <f>N10</f>
        <v>2.4157650000000008</v>
      </c>
      <c r="O90" s="58">
        <f>O10</f>
        <v>2.6573415000000011</v>
      </c>
      <c r="P90" s="58">
        <f>P10</f>
        <v>2.9230756500000017</v>
      </c>
      <c r="Q90" s="58">
        <f>Q10</f>
        <v>3.2153832150000019</v>
      </c>
      <c r="R90" s="58">
        <f>R10</f>
        <v>3.5369215365000022</v>
      </c>
      <c r="S90" s="58">
        <f>S10</f>
        <v>3.8906136901500026</v>
      </c>
      <c r="T90" s="58">
        <f>T10</f>
        <v>4.2796750591650028</v>
      </c>
      <c r="U90" s="58">
        <f>U10</f>
        <v>4.7076425650815032</v>
      </c>
      <c r="V90" s="58">
        <f>V10</f>
        <v>5.1784068215896539</v>
      </c>
      <c r="W90" s="58">
        <f>W10</f>
        <v>5.6962475037486202</v>
      </c>
      <c r="X90" s="58">
        <f>X10</f>
        <v>6.265872254123483</v>
      </c>
      <c r="Y90" s="58">
        <f>Y10</f>
        <v>6.892459479535832</v>
      </c>
      <c r="Z90" s="58">
        <f>Z10</f>
        <v>7.5817054274894158</v>
      </c>
      <c r="AA90" s="58">
        <f>AA10</f>
        <v>8.3398759702383582</v>
      </c>
      <c r="AB90" s="58">
        <f>AB10</f>
        <v>9.1738635672621953</v>
      </c>
      <c r="AC90" s="58">
        <f>AC10</f>
        <v>10.091249923988416</v>
      </c>
      <c r="AD90" s="58">
        <f>AD10</f>
        <v>11.100374916387258</v>
      </c>
      <c r="AE90" s="58">
        <f>AE10</f>
        <v>12.210412408025984</v>
      </c>
      <c r="AF90" s="58">
        <f>AF10</f>
        <v>13.431453648828583</v>
      </c>
      <c r="AG90" s="58">
        <f>AG10</f>
        <v>14.774599013711443</v>
      </c>
      <c r="AH90" s="58">
        <f>AH10</f>
        <v>16.252058915082589</v>
      </c>
      <c r="AI90" s="58">
        <f>AI10</f>
        <v>17.877264806590851</v>
      </c>
      <c r="AJ90" s="58">
        <f>AJ10</f>
        <v>19.664991287249936</v>
      </c>
      <c r="AK90" s="58">
        <f>AK10</f>
        <v>21.63149041597493</v>
      </c>
      <c r="AL90" s="58">
        <f>AL10</f>
        <v>23.794639457572426</v>
      </c>
      <c r="AM90" s="58">
        <f>AM10</f>
        <v>0</v>
      </c>
      <c r="AN90" s="58">
        <f>AN10</f>
        <v>0</v>
      </c>
      <c r="AO90" s="58">
        <f>AO10</f>
        <v>0</v>
      </c>
      <c r="AP90" s="58">
        <f>AP10</f>
        <v>0</v>
      </c>
      <c r="AQ90" s="58">
        <f>AQ10</f>
        <v>0</v>
      </c>
    </row>
    <row r="91" spans="1:43" s="59" customFormat="1" outlineLevel="1" x14ac:dyDescent="0.3">
      <c r="C91" s="60" t="s">
        <v>15</v>
      </c>
      <c r="D91" s="61" t="s">
        <v>98</v>
      </c>
      <c r="E91" s="60"/>
      <c r="F91" s="60"/>
      <c r="G91" s="60"/>
      <c r="H91" s="92">
        <f t="shared" si="24"/>
        <v>228.35095484430644</v>
      </c>
      <c r="I91" s="62">
        <f>SUM(I88:I90)</f>
        <v>8.4410000000000007</v>
      </c>
      <c r="J91" s="62">
        <f t="shared" ref="J91:AQ91" si="26">SUM(J88:J90)</f>
        <v>12.758100000000001</v>
      </c>
      <c r="K91" s="62">
        <f t="shared" si="26"/>
        <v>10.45711</v>
      </c>
      <c r="L91" s="62">
        <f t="shared" si="26"/>
        <v>9.536741000000001</v>
      </c>
      <c r="M91" s="62">
        <f t="shared" si="26"/>
        <v>8.6824855000000003</v>
      </c>
      <c r="N91" s="62">
        <f t="shared" si="26"/>
        <v>6.8031564500000012</v>
      </c>
      <c r="O91" s="62">
        <f t="shared" si="26"/>
        <v>1.9398592950000006</v>
      </c>
      <c r="P91" s="62">
        <f t="shared" si="26"/>
        <v>2.1338452245000012</v>
      </c>
      <c r="Q91" s="62">
        <f t="shared" si="26"/>
        <v>2.3472297469500014</v>
      </c>
      <c r="R91" s="62">
        <f t="shared" si="26"/>
        <v>2.5819527216450018</v>
      </c>
      <c r="S91" s="62">
        <f t="shared" si="26"/>
        <v>2.8401479938095018</v>
      </c>
      <c r="T91" s="62">
        <f t="shared" si="26"/>
        <v>3.1241627931904521</v>
      </c>
      <c r="U91" s="62">
        <f t="shared" si="26"/>
        <v>3.4365790725094971</v>
      </c>
      <c r="V91" s="62">
        <f t="shared" si="26"/>
        <v>3.7802369797604474</v>
      </c>
      <c r="W91" s="62">
        <f t="shared" si="26"/>
        <v>4.158260677736493</v>
      </c>
      <c r="X91" s="62">
        <f t="shared" si="26"/>
        <v>4.5740867455101428</v>
      </c>
      <c r="Y91" s="62">
        <f t="shared" si="26"/>
        <v>5.031495420061157</v>
      </c>
      <c r="Z91" s="62">
        <f t="shared" si="26"/>
        <v>5.534644962067274</v>
      </c>
      <c r="AA91" s="62">
        <f t="shared" si="26"/>
        <v>6.0881094582740012</v>
      </c>
      <c r="AB91" s="62">
        <f t="shared" si="26"/>
        <v>6.6969204041014025</v>
      </c>
      <c r="AC91" s="62">
        <f t="shared" si="26"/>
        <v>7.366612444511544</v>
      </c>
      <c r="AD91" s="62">
        <f t="shared" si="26"/>
        <v>8.1032736889626982</v>
      </c>
      <c r="AE91" s="62">
        <f t="shared" si="26"/>
        <v>8.9136010578589691</v>
      </c>
      <c r="AF91" s="62">
        <f t="shared" si="26"/>
        <v>9.8049611636448653</v>
      </c>
      <c r="AG91" s="62">
        <f t="shared" si="26"/>
        <v>10.785457280009354</v>
      </c>
      <c r="AH91" s="62">
        <f t="shared" si="26"/>
        <v>11.86400300801029</v>
      </c>
      <c r="AI91" s="62">
        <f t="shared" si="26"/>
        <v>13.050403308811321</v>
      </c>
      <c r="AJ91" s="62">
        <f t="shared" si="26"/>
        <v>14.355443639692453</v>
      </c>
      <c r="AK91" s="62">
        <f t="shared" si="26"/>
        <v>15.790988003661699</v>
      </c>
      <c r="AL91" s="62">
        <f t="shared" si="26"/>
        <v>17.370086804027871</v>
      </c>
      <c r="AM91" s="62">
        <f t="shared" si="26"/>
        <v>0</v>
      </c>
      <c r="AN91" s="62">
        <f t="shared" si="26"/>
        <v>0</v>
      </c>
      <c r="AO91" s="62">
        <f t="shared" si="26"/>
        <v>0</v>
      </c>
      <c r="AP91" s="62">
        <f t="shared" si="26"/>
        <v>0</v>
      </c>
      <c r="AQ91" s="62">
        <f t="shared" si="26"/>
        <v>0</v>
      </c>
    </row>
    <row r="92" spans="1:43" outlineLevel="1" x14ac:dyDescent="0.3">
      <c r="H92" s="96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</row>
    <row r="93" spans="1:43" outlineLevel="1" x14ac:dyDescent="0.3">
      <c r="C93" s="74" t="s">
        <v>46</v>
      </c>
      <c r="H93" s="95"/>
    </row>
    <row r="94" spans="1:43" outlineLevel="1" x14ac:dyDescent="0.3">
      <c r="C94" s="127" t="str">
        <f>$C$37</f>
        <v>Tax Benefit</v>
      </c>
      <c r="D94" s="49" t="s">
        <v>98</v>
      </c>
      <c r="H94" s="89">
        <f t="shared" ref="H94:H97" si="27">SUM(I94:AO94)</f>
        <v>19.519930040850497</v>
      </c>
      <c r="I94" s="58">
        <f>I37</f>
        <v>4.8915900000000008</v>
      </c>
      <c r="J94" s="58">
        <f>J37</f>
        <v>8.027019000000001</v>
      </c>
      <c r="K94" s="58">
        <f>K37</f>
        <v>4.5956888999999999</v>
      </c>
      <c r="L94" s="58">
        <f>L37</f>
        <v>2.5148385900000001</v>
      </c>
      <c r="M94" s="58">
        <f>M37</f>
        <v>2.4614721449999997</v>
      </c>
      <c r="N94" s="58">
        <f>N37</f>
        <v>0.87851753549999978</v>
      </c>
      <c r="O94" s="58">
        <f>O37</f>
        <v>-0.71030738295000029</v>
      </c>
      <c r="P94" s="58">
        <f>P37</f>
        <v>-3.9461521275000022E-2</v>
      </c>
      <c r="Q94" s="58">
        <f>Q37</f>
        <v>-4.3407673402500034E-2</v>
      </c>
      <c r="R94" s="58">
        <f>R37</f>
        <v>-4.7748440742750031E-2</v>
      </c>
      <c r="S94" s="58">
        <f>S37</f>
        <v>-5.2523284817025041E-2</v>
      </c>
      <c r="T94" s="58">
        <f>T37</f>
        <v>-5.7775613298727546E-2</v>
      </c>
      <c r="U94" s="58">
        <f>U37</f>
        <v>-6.3553174628600301E-2</v>
      </c>
      <c r="V94" s="58">
        <f>V37</f>
        <v>-6.9908492091460328E-2</v>
      </c>
      <c r="W94" s="58">
        <f>W37</f>
        <v>-7.6899341300606383E-2</v>
      </c>
      <c r="X94" s="58">
        <f>X37</f>
        <v>-8.4589275430667035E-2</v>
      </c>
      <c r="Y94" s="58">
        <f>Y37</f>
        <v>-9.3048202973733757E-2</v>
      </c>
      <c r="Z94" s="58">
        <f>Z37</f>
        <v>-0.10235302327110712</v>
      </c>
      <c r="AA94" s="58">
        <f>AA37</f>
        <v>-0.11258832559821785</v>
      </c>
      <c r="AB94" s="58">
        <f>AB37</f>
        <v>-0.12384715815803965</v>
      </c>
      <c r="AC94" s="58">
        <f>AC37</f>
        <v>-0.13623187397384365</v>
      </c>
      <c r="AD94" s="58">
        <f>AD37</f>
        <v>-0.149855061371228</v>
      </c>
      <c r="AE94" s="58">
        <f>AE37</f>
        <v>-0.16484056750835083</v>
      </c>
      <c r="AF94" s="58">
        <f>AF37</f>
        <v>-0.18132462425918588</v>
      </c>
      <c r="AG94" s="58">
        <f>AG37</f>
        <v>-0.19945708668510451</v>
      </c>
      <c r="AH94" s="58">
        <f>AH37</f>
        <v>-0.21940279535361498</v>
      </c>
      <c r="AI94" s="58">
        <f>AI37</f>
        <v>-0.24134307488897649</v>
      </c>
      <c r="AJ94" s="58">
        <f>AJ37</f>
        <v>-0.26547738237787416</v>
      </c>
      <c r="AK94" s="58">
        <f>AK37</f>
        <v>-0.2920251206156616</v>
      </c>
      <c r="AL94" s="58">
        <f>AL37</f>
        <v>-0.32122763267722776</v>
      </c>
      <c r="AM94" s="58">
        <f>AM37</f>
        <v>0</v>
      </c>
      <c r="AN94" s="58">
        <f>AN37</f>
        <v>0</v>
      </c>
      <c r="AO94" s="58">
        <f>AO37</f>
        <v>0</v>
      </c>
      <c r="AP94" s="58">
        <f>AP37</f>
        <v>0</v>
      </c>
      <c r="AQ94" s="58">
        <f>AQ37</f>
        <v>0</v>
      </c>
    </row>
    <row r="95" spans="1:43" outlineLevel="1" x14ac:dyDescent="0.3">
      <c r="C95" s="127" t="str">
        <f>$C$38</f>
        <v>Tax Credit Benefit</v>
      </c>
      <c r="D95" s="49" t="s">
        <v>98</v>
      </c>
      <c r="H95" s="89">
        <f t="shared" si="27"/>
        <v>21.285</v>
      </c>
      <c r="I95" s="58">
        <f>I38</f>
        <v>1.98</v>
      </c>
      <c r="J95" s="58">
        <f>J38</f>
        <v>2.9699999999999998</v>
      </c>
      <c r="K95" s="58">
        <f>K38</f>
        <v>3.96</v>
      </c>
      <c r="L95" s="58">
        <f>L38</f>
        <v>4.95</v>
      </c>
      <c r="M95" s="58">
        <f>M38</f>
        <v>3.96</v>
      </c>
      <c r="N95" s="58">
        <f>N38</f>
        <v>3.4649999999999999</v>
      </c>
      <c r="O95" s="58">
        <f>O38</f>
        <v>0</v>
      </c>
      <c r="P95" s="58">
        <f>P38</f>
        <v>0</v>
      </c>
      <c r="Q95" s="58">
        <f>Q38</f>
        <v>0</v>
      </c>
      <c r="R95" s="58">
        <f>R38</f>
        <v>0</v>
      </c>
      <c r="S95" s="58">
        <f>S38</f>
        <v>0</v>
      </c>
      <c r="T95" s="58">
        <f>T38</f>
        <v>0</v>
      </c>
      <c r="U95" s="58">
        <f>U38</f>
        <v>0</v>
      </c>
      <c r="V95" s="58">
        <f>V38</f>
        <v>0</v>
      </c>
      <c r="W95" s="58">
        <f>W38</f>
        <v>0</v>
      </c>
      <c r="X95" s="58">
        <f>X38</f>
        <v>0</v>
      </c>
      <c r="Y95" s="58">
        <f>Y38</f>
        <v>0</v>
      </c>
      <c r="Z95" s="58">
        <f>Z38</f>
        <v>0</v>
      </c>
      <c r="AA95" s="58">
        <f>AA38</f>
        <v>0</v>
      </c>
      <c r="AB95" s="58">
        <f>AB38</f>
        <v>0</v>
      </c>
      <c r="AC95" s="58">
        <f>AC38</f>
        <v>0</v>
      </c>
      <c r="AD95" s="58">
        <f>AD38</f>
        <v>0</v>
      </c>
      <c r="AE95" s="58">
        <f>AE38</f>
        <v>0</v>
      </c>
      <c r="AF95" s="58">
        <f>AF38</f>
        <v>0</v>
      </c>
      <c r="AG95" s="58">
        <f>AG38</f>
        <v>0</v>
      </c>
      <c r="AH95" s="58">
        <f>AH38</f>
        <v>0</v>
      </c>
      <c r="AI95" s="58">
        <f>AI38</f>
        <v>0</v>
      </c>
      <c r="AJ95" s="58">
        <f>AJ38</f>
        <v>0</v>
      </c>
      <c r="AK95" s="58">
        <f>AK38</f>
        <v>0</v>
      </c>
      <c r="AL95" s="58">
        <f>AL38</f>
        <v>0</v>
      </c>
      <c r="AM95" s="58">
        <f>AM38</f>
        <v>0</v>
      </c>
      <c r="AN95" s="58">
        <f>AN38</f>
        <v>0</v>
      </c>
      <c r="AO95" s="58">
        <f>AO38</f>
        <v>0</v>
      </c>
      <c r="AP95" s="58">
        <f>AP38</f>
        <v>0</v>
      </c>
      <c r="AQ95" s="58">
        <f>AQ38</f>
        <v>0</v>
      </c>
    </row>
    <row r="96" spans="1:43" outlineLevel="1" x14ac:dyDescent="0.3">
      <c r="C96" s="127" t="str">
        <f>$C$39</f>
        <v>Cash Flow Benefit</v>
      </c>
      <c r="D96" s="49" t="s">
        <v>98</v>
      </c>
      <c r="H96" s="91">
        <f t="shared" si="27"/>
        <v>14.471665176664825</v>
      </c>
      <c r="I96" s="58">
        <f>I39</f>
        <v>0.30000000000000004</v>
      </c>
      <c r="J96" s="58">
        <f>J39</f>
        <v>0.33000000000000007</v>
      </c>
      <c r="K96" s="58">
        <f>K39</f>
        <v>0.3630000000000001</v>
      </c>
      <c r="L96" s="58">
        <f>L39</f>
        <v>0.39930000000000015</v>
      </c>
      <c r="M96" s="58">
        <f>M39</f>
        <v>0.43923000000000018</v>
      </c>
      <c r="N96" s="58">
        <f>N39</f>
        <v>0.48315300000000017</v>
      </c>
      <c r="O96" s="58">
        <f>O39</f>
        <v>0.53146830000000023</v>
      </c>
      <c r="P96" s="58">
        <f>P39</f>
        <v>0.14615378250000008</v>
      </c>
      <c r="Q96" s="58">
        <f>Q39</f>
        <v>0.16076916075000011</v>
      </c>
      <c r="R96" s="58">
        <f>R39</f>
        <v>0.17684607682500011</v>
      </c>
      <c r="S96" s="58">
        <f>S39</f>
        <v>0.19453068450750013</v>
      </c>
      <c r="T96" s="58">
        <f>T39</f>
        <v>0.21398375295825015</v>
      </c>
      <c r="U96" s="58">
        <f>U39</f>
        <v>0.23538212825407517</v>
      </c>
      <c r="V96" s="58">
        <f>V39</f>
        <v>0.2589203410794827</v>
      </c>
      <c r="W96" s="58">
        <f>W39</f>
        <v>0.28481237518743102</v>
      </c>
      <c r="X96" s="58">
        <f>X39</f>
        <v>0.31329361270617417</v>
      </c>
      <c r="Y96" s="58">
        <f>Y39</f>
        <v>0.34462297397679165</v>
      </c>
      <c r="Z96" s="58">
        <f>Z39</f>
        <v>0.37908527137447079</v>
      </c>
      <c r="AA96" s="58">
        <f>AA39</f>
        <v>0.41699379851191792</v>
      </c>
      <c r="AB96" s="58">
        <f>AB39</f>
        <v>0.4586931783631098</v>
      </c>
      <c r="AC96" s="58">
        <f>AC39</f>
        <v>0.50456249619942084</v>
      </c>
      <c r="AD96" s="58">
        <f>AD39</f>
        <v>0.55501874581936295</v>
      </c>
      <c r="AE96" s="58">
        <f>AE39</f>
        <v>0.61052062040129929</v>
      </c>
      <c r="AF96" s="58">
        <f>AF39</f>
        <v>0.6715726824414292</v>
      </c>
      <c r="AG96" s="58">
        <f>AG39</f>
        <v>0.73872995068557223</v>
      </c>
      <c r="AH96" s="58">
        <f>AH39</f>
        <v>0.8126029457541295</v>
      </c>
      <c r="AI96" s="58">
        <f>AI39</f>
        <v>0.89386324032954256</v>
      </c>
      <c r="AJ96" s="58">
        <f>AJ39</f>
        <v>0.98324956436249689</v>
      </c>
      <c r="AK96" s="58">
        <f>AK39</f>
        <v>1.0815745207987466</v>
      </c>
      <c r="AL96" s="58">
        <f>AL39</f>
        <v>1.1897319728786213</v>
      </c>
      <c r="AM96" s="58">
        <f>AM39</f>
        <v>0</v>
      </c>
      <c r="AN96" s="58">
        <f>AN39</f>
        <v>0</v>
      </c>
      <c r="AO96" s="58">
        <f>AO39</f>
        <v>0</v>
      </c>
      <c r="AP96" s="58">
        <f>AP39</f>
        <v>0</v>
      </c>
      <c r="AQ96" s="58">
        <f>AQ39</f>
        <v>0</v>
      </c>
    </row>
    <row r="97" spans="1:149" s="59" customFormat="1" outlineLevel="1" x14ac:dyDescent="0.3">
      <c r="C97" s="60" t="s">
        <v>15</v>
      </c>
      <c r="D97" s="61" t="s">
        <v>98</v>
      </c>
      <c r="E97" s="60"/>
      <c r="F97" s="60"/>
      <c r="G97" s="60"/>
      <c r="H97" s="92">
        <f t="shared" si="27"/>
        <v>55.276595217515322</v>
      </c>
      <c r="I97" s="62">
        <f t="shared" ref="I97:AQ97" si="28">SUM(I94:I96)</f>
        <v>7.171590000000001</v>
      </c>
      <c r="J97" s="62">
        <f t="shared" si="28"/>
        <v>11.327019000000002</v>
      </c>
      <c r="K97" s="62">
        <f t="shared" si="28"/>
        <v>8.9186888999999994</v>
      </c>
      <c r="L97" s="62">
        <f t="shared" si="28"/>
        <v>7.8641385900000005</v>
      </c>
      <c r="M97" s="62">
        <f t="shared" si="28"/>
        <v>6.8607021449999994</v>
      </c>
      <c r="N97" s="62">
        <f t="shared" si="28"/>
        <v>4.8266705354999999</v>
      </c>
      <c r="O97" s="62">
        <f t="shared" si="28"/>
        <v>-0.17883908295000006</v>
      </c>
      <c r="P97" s="62">
        <f t="shared" si="28"/>
        <v>0.10669226122500006</v>
      </c>
      <c r="Q97" s="62">
        <f t="shared" si="28"/>
        <v>0.11736148734750007</v>
      </c>
      <c r="R97" s="62">
        <f t="shared" si="28"/>
        <v>0.12909763608225008</v>
      </c>
      <c r="S97" s="62">
        <f t="shared" si="28"/>
        <v>0.1420073996904751</v>
      </c>
      <c r="T97" s="62">
        <f t="shared" si="28"/>
        <v>0.1562081396595226</v>
      </c>
      <c r="U97" s="62">
        <f t="shared" si="28"/>
        <v>0.17182895362547487</v>
      </c>
      <c r="V97" s="62">
        <f t="shared" si="28"/>
        <v>0.18901184898802237</v>
      </c>
      <c r="W97" s="62">
        <f t="shared" si="28"/>
        <v>0.20791303388682464</v>
      </c>
      <c r="X97" s="62">
        <f t="shared" si="28"/>
        <v>0.22870433727550715</v>
      </c>
      <c r="Y97" s="62">
        <f t="shared" si="28"/>
        <v>0.25157477100305792</v>
      </c>
      <c r="Z97" s="62">
        <f t="shared" si="28"/>
        <v>0.27673224810336366</v>
      </c>
      <c r="AA97" s="62">
        <f t="shared" si="28"/>
        <v>0.30440547291370007</v>
      </c>
      <c r="AB97" s="62">
        <f t="shared" si="28"/>
        <v>0.33484602020507015</v>
      </c>
      <c r="AC97" s="62">
        <f t="shared" si="28"/>
        <v>0.36833062222557722</v>
      </c>
      <c r="AD97" s="62">
        <f t="shared" si="28"/>
        <v>0.40516368444813494</v>
      </c>
      <c r="AE97" s="62">
        <f t="shared" si="28"/>
        <v>0.44568005289294843</v>
      </c>
      <c r="AF97" s="62">
        <f t="shared" si="28"/>
        <v>0.49024805818224332</v>
      </c>
      <c r="AG97" s="62">
        <f t="shared" si="28"/>
        <v>0.5392728640004677</v>
      </c>
      <c r="AH97" s="62">
        <f t="shared" si="28"/>
        <v>0.59320015040051455</v>
      </c>
      <c r="AI97" s="62">
        <f t="shared" si="28"/>
        <v>0.65252016544056612</v>
      </c>
      <c r="AJ97" s="62">
        <f t="shared" si="28"/>
        <v>0.71777218198462278</v>
      </c>
      <c r="AK97" s="62">
        <f t="shared" si="28"/>
        <v>0.78954940018308495</v>
      </c>
      <c r="AL97" s="62">
        <f t="shared" si="28"/>
        <v>0.86850434020139355</v>
      </c>
      <c r="AM97" s="62">
        <f t="shared" si="28"/>
        <v>0</v>
      </c>
      <c r="AN97" s="62">
        <f t="shared" si="28"/>
        <v>0</v>
      </c>
      <c r="AO97" s="62">
        <f t="shared" si="28"/>
        <v>0</v>
      </c>
      <c r="AP97" s="62">
        <f t="shared" si="28"/>
        <v>0</v>
      </c>
      <c r="AQ97" s="62">
        <f t="shared" si="28"/>
        <v>0</v>
      </c>
    </row>
    <row r="98" spans="1:149" outlineLevel="1" x14ac:dyDescent="0.3">
      <c r="H98" s="95"/>
    </row>
    <row r="99" spans="1:149" outlineLevel="1" x14ac:dyDescent="0.3">
      <c r="C99" s="74" t="s">
        <v>53</v>
      </c>
      <c r="H99" s="95"/>
    </row>
    <row r="100" spans="1:149" outlineLevel="1" x14ac:dyDescent="0.3">
      <c r="C100" s="127" t="str">
        <f>$C$37</f>
        <v>Tax Benefit</v>
      </c>
      <c r="D100" s="49" t="s">
        <v>98</v>
      </c>
      <c r="H100" s="89">
        <f t="shared" ref="H100:H103" si="29">SUM(I100:AO100)</f>
        <v>-56.952948258507973</v>
      </c>
      <c r="I100" s="58">
        <f>I81</f>
        <v>0</v>
      </c>
      <c r="J100" s="58">
        <f>J81</f>
        <v>0</v>
      </c>
      <c r="K100" s="58">
        <f>K81</f>
        <v>0</v>
      </c>
      <c r="L100" s="58">
        <f>L81</f>
        <v>0</v>
      </c>
      <c r="M100" s="58">
        <f>M81</f>
        <v>0</v>
      </c>
      <c r="N100" s="58">
        <f>N81</f>
        <v>0</v>
      </c>
      <c r="O100" s="58">
        <f>O81</f>
        <v>0</v>
      </c>
      <c r="P100" s="58">
        <f>P81</f>
        <v>0</v>
      </c>
      <c r="Q100" s="58">
        <f>Q81</f>
        <v>-0.15835258362897131</v>
      </c>
      <c r="R100" s="58">
        <f>R81</f>
        <v>-0.2287701724840534</v>
      </c>
      <c r="S100" s="58">
        <f>S81</f>
        <v>-0.69656539729317191</v>
      </c>
      <c r="T100" s="58">
        <f>T81</f>
        <v>-0.98886751510465909</v>
      </c>
      <c r="U100" s="58">
        <f>U81</f>
        <v>-1.1207074905376255</v>
      </c>
      <c r="V100" s="58">
        <f>V81</f>
        <v>-1.2667200602315636</v>
      </c>
      <c r="W100" s="58">
        <f>W81</f>
        <v>-1.4283521415141012</v>
      </c>
      <c r="X100" s="58">
        <f>X81</f>
        <v>-1.6071962331826735</v>
      </c>
      <c r="Y100" s="58">
        <f>Y81</f>
        <v>-1.767915856500941</v>
      </c>
      <c r="Z100" s="58">
        <f>Z81</f>
        <v>-1.9447074421510351</v>
      </c>
      <c r="AA100" s="58">
        <f>AA81</f>
        <v>-2.1391781863661388</v>
      </c>
      <c r="AB100" s="58">
        <f>AB81</f>
        <v>-2.3530960050027532</v>
      </c>
      <c r="AC100" s="58">
        <f>AC81</f>
        <v>-2.5884056055030289</v>
      </c>
      <c r="AD100" s="58">
        <f>AD81</f>
        <v>-2.8472461660533317</v>
      </c>
      <c r="AE100" s="58">
        <f>AE81</f>
        <v>-3.1319707826586654</v>
      </c>
      <c r="AF100" s="58">
        <f>AF81</f>
        <v>-3.4451678609245318</v>
      </c>
      <c r="AG100" s="58">
        <f>AG81</f>
        <v>-3.7896846470169852</v>
      </c>
      <c r="AH100" s="58">
        <f>AH81</f>
        <v>-4.168653111718684</v>
      </c>
      <c r="AI100" s="58">
        <f>AI81</f>
        <v>-4.5855184228905532</v>
      </c>
      <c r="AJ100" s="58">
        <f>AJ81</f>
        <v>-5.0440702651796085</v>
      </c>
      <c r="AK100" s="58">
        <f>AK81</f>
        <v>-5.5484772916975702</v>
      </c>
      <c r="AL100" s="58">
        <f>AL81</f>
        <v>-6.1033250208673273</v>
      </c>
      <c r="AM100" s="58">
        <f>AM81</f>
        <v>0</v>
      </c>
      <c r="AN100" s="58">
        <f>AN81</f>
        <v>0</v>
      </c>
      <c r="AO100" s="58">
        <f>AO81</f>
        <v>0</v>
      </c>
      <c r="AP100" s="58">
        <f>AP81</f>
        <v>0</v>
      </c>
      <c r="AQ100" s="58">
        <f>AQ81</f>
        <v>0</v>
      </c>
    </row>
    <row r="101" spans="1:149" outlineLevel="1" x14ac:dyDescent="0.3">
      <c r="C101" s="127" t="str">
        <f>$C$38</f>
        <v>Tax Credit Benefit</v>
      </c>
      <c r="D101" s="49" t="s">
        <v>98</v>
      </c>
      <c r="H101" s="89">
        <f t="shared" si="29"/>
        <v>0.21500000000000019</v>
      </c>
      <c r="I101" s="58">
        <f>-I74</f>
        <v>0</v>
      </c>
      <c r="J101" s="58">
        <f>-J74</f>
        <v>0</v>
      </c>
      <c r="K101" s="58">
        <f>-K74</f>
        <v>0</v>
      </c>
      <c r="L101" s="58">
        <f>-L74</f>
        <v>0</v>
      </c>
      <c r="M101" s="58">
        <f>-M74</f>
        <v>0</v>
      </c>
      <c r="N101" s="58">
        <f>-N74</f>
        <v>0</v>
      </c>
      <c r="O101" s="58">
        <f>-O74</f>
        <v>0</v>
      </c>
      <c r="P101" s="58">
        <f>-P74</f>
        <v>0.17360429992205206</v>
      </c>
      <c r="Q101" s="58">
        <f>-Q74</f>
        <v>4.1395700077948128E-2</v>
      </c>
      <c r="R101" s="58">
        <f>-R74</f>
        <v>0</v>
      </c>
      <c r="S101" s="58">
        <f>-S74</f>
        <v>0</v>
      </c>
      <c r="T101" s="58">
        <f>-T74</f>
        <v>0</v>
      </c>
      <c r="U101" s="58">
        <f>-U74</f>
        <v>0</v>
      </c>
      <c r="V101" s="58">
        <f>-V74</f>
        <v>0</v>
      </c>
      <c r="W101" s="58">
        <f>-W74</f>
        <v>0</v>
      </c>
      <c r="X101" s="58">
        <f>-X74</f>
        <v>0</v>
      </c>
      <c r="Y101" s="58">
        <f>-Y74</f>
        <v>0</v>
      </c>
      <c r="Z101" s="58">
        <f>-Z74</f>
        <v>0</v>
      </c>
      <c r="AA101" s="58">
        <f>-AA74</f>
        <v>0</v>
      </c>
      <c r="AB101" s="58">
        <f>-AB74</f>
        <v>0</v>
      </c>
      <c r="AC101" s="58">
        <f>-AC74</f>
        <v>0</v>
      </c>
      <c r="AD101" s="58">
        <f>-AD74</f>
        <v>0</v>
      </c>
      <c r="AE101" s="58">
        <f>-AE74</f>
        <v>0</v>
      </c>
      <c r="AF101" s="58">
        <f>-AF74</f>
        <v>0</v>
      </c>
      <c r="AG101" s="58">
        <f>-AG74</f>
        <v>0</v>
      </c>
      <c r="AH101" s="58">
        <f>-AH74</f>
        <v>0</v>
      </c>
      <c r="AI101" s="58">
        <f>-AI74</f>
        <v>0</v>
      </c>
      <c r="AJ101" s="58">
        <f>-AJ74</f>
        <v>0</v>
      </c>
      <c r="AK101" s="58">
        <f>-AK74</f>
        <v>0</v>
      </c>
      <c r="AL101" s="58">
        <f>-AL74</f>
        <v>0</v>
      </c>
      <c r="AM101" s="58">
        <f>-AM74</f>
        <v>0</v>
      </c>
      <c r="AN101" s="58">
        <f>-AN74</f>
        <v>0</v>
      </c>
      <c r="AO101" s="58">
        <f>-AO74</f>
        <v>0</v>
      </c>
      <c r="AP101" s="58">
        <f>-AP74</f>
        <v>0</v>
      </c>
      <c r="AQ101" s="58">
        <f>-AQ74</f>
        <v>0</v>
      </c>
    </row>
    <row r="102" spans="1:149" outlineLevel="1" x14ac:dyDescent="0.3">
      <c r="C102" s="127" t="str">
        <f>$C$39</f>
        <v>Cash Flow Benefit</v>
      </c>
      <c r="D102" s="49" t="s">
        <v>98</v>
      </c>
      <c r="H102" s="91">
        <f t="shared" si="29"/>
        <v>199.08385121111394</v>
      </c>
      <c r="I102" s="58">
        <f>I80</f>
        <v>0.27692307692307705</v>
      </c>
      <c r="J102" s="58">
        <f>J80</f>
        <v>0.30461538461538473</v>
      </c>
      <c r="K102" s="58">
        <f>K80</f>
        <v>0.33507692307692327</v>
      </c>
      <c r="L102" s="58">
        <f>L80</f>
        <v>0.36858461538461551</v>
      </c>
      <c r="M102" s="58">
        <f>M80</f>
        <v>0.40544307692307724</v>
      </c>
      <c r="N102" s="58">
        <f>N80</f>
        <v>0.44598738461538479</v>
      </c>
      <c r="O102" s="58">
        <f>O80</f>
        <v>0.49058612307692329</v>
      </c>
      <c r="P102" s="58">
        <f>P80</f>
        <v>0.64082812326923122</v>
      </c>
      <c r="Q102" s="58">
        <f>Q80</f>
        <v>0.70491093559615425</v>
      </c>
      <c r="R102" s="58">
        <f>R80</f>
        <v>0.77540202915576995</v>
      </c>
      <c r="S102" s="58">
        <f>S80</f>
        <v>0.85294223207134667</v>
      </c>
      <c r="T102" s="58">
        <f>T80</f>
        <v>0.93823645527848143</v>
      </c>
      <c r="U102" s="58">
        <f>U80</f>
        <v>1.0320601008063295</v>
      </c>
      <c r="V102" s="58">
        <f>V80</f>
        <v>1.1352661108869628</v>
      </c>
      <c r="W102" s="58">
        <f>W80</f>
        <v>1.2487927219756596</v>
      </c>
      <c r="X102" s="58">
        <f>X80</f>
        <v>5.9525786414173085</v>
      </c>
      <c r="Y102" s="58">
        <f>Y80</f>
        <v>6.5478365055590402</v>
      </c>
      <c r="Z102" s="58">
        <f>Z80</f>
        <v>7.2026201561149445</v>
      </c>
      <c r="AA102" s="58">
        <f>AA80</f>
        <v>7.9228821717264397</v>
      </c>
      <c r="AB102" s="58">
        <f>AB80</f>
        <v>8.7151703888990859</v>
      </c>
      <c r="AC102" s="58">
        <f>AC80</f>
        <v>9.5866874277889949</v>
      </c>
      <c r="AD102" s="58">
        <f>AD80</f>
        <v>10.545356170567894</v>
      </c>
      <c r="AE102" s="58">
        <f>AE80</f>
        <v>11.599891787624685</v>
      </c>
      <c r="AF102" s="58">
        <f>AF80</f>
        <v>12.759880966387154</v>
      </c>
      <c r="AG102" s="58">
        <f>AG80</f>
        <v>14.035869063025871</v>
      </c>
      <c r="AH102" s="58">
        <f>AH80</f>
        <v>15.439455969328458</v>
      </c>
      <c r="AI102" s="58">
        <f>AI80</f>
        <v>16.983401566261307</v>
      </c>
      <c r="AJ102" s="58">
        <f>AJ80</f>
        <v>18.681741722887438</v>
      </c>
      <c r="AK102" s="58">
        <f>AK80</f>
        <v>20.549915895176184</v>
      </c>
      <c r="AL102" s="58">
        <f>AL80</f>
        <v>22.604907484693804</v>
      </c>
      <c r="AM102" s="58">
        <f>AM80</f>
        <v>0</v>
      </c>
      <c r="AN102" s="58">
        <f>AN80</f>
        <v>0</v>
      </c>
      <c r="AO102" s="58">
        <f>AO80</f>
        <v>0</v>
      </c>
      <c r="AP102" s="58">
        <f>AP80</f>
        <v>0</v>
      </c>
      <c r="AQ102" s="58">
        <f>AQ80</f>
        <v>0</v>
      </c>
    </row>
    <row r="103" spans="1:149" s="59" customFormat="1" outlineLevel="1" x14ac:dyDescent="0.3">
      <c r="C103" s="60" t="s">
        <v>15</v>
      </c>
      <c r="D103" s="61" t="s">
        <v>98</v>
      </c>
      <c r="E103" s="60"/>
      <c r="F103" s="60"/>
      <c r="G103" s="60"/>
      <c r="H103" s="92">
        <f t="shared" si="29"/>
        <v>142.34590295260594</v>
      </c>
      <c r="I103" s="62">
        <f>SUM(I100:I102)</f>
        <v>0.27692307692307705</v>
      </c>
      <c r="J103" s="62">
        <f t="shared" ref="J103:AQ103" si="30">SUM(J100:J102)</f>
        <v>0.30461538461538473</v>
      </c>
      <c r="K103" s="62">
        <f t="shared" si="30"/>
        <v>0.33507692307692327</v>
      </c>
      <c r="L103" s="62">
        <f t="shared" si="30"/>
        <v>0.36858461538461551</v>
      </c>
      <c r="M103" s="62">
        <f t="shared" si="30"/>
        <v>0.40544307692307724</v>
      </c>
      <c r="N103" s="62">
        <f t="shared" si="30"/>
        <v>0.44598738461538479</v>
      </c>
      <c r="O103" s="62">
        <f t="shared" si="30"/>
        <v>0.49058612307692329</v>
      </c>
      <c r="P103" s="62">
        <f t="shared" si="30"/>
        <v>0.81443242319128328</v>
      </c>
      <c r="Q103" s="62">
        <f t="shared" si="30"/>
        <v>0.58795405204513107</v>
      </c>
      <c r="R103" s="62">
        <f t="shared" si="30"/>
        <v>0.54663185667171654</v>
      </c>
      <c r="S103" s="62">
        <f t="shared" si="30"/>
        <v>0.15637683477817477</v>
      </c>
      <c r="T103" s="62">
        <f t="shared" si="30"/>
        <v>-5.063105982617766E-2</v>
      </c>
      <c r="U103" s="62">
        <f t="shared" si="30"/>
        <v>-8.8647389731296045E-2</v>
      </c>
      <c r="V103" s="62">
        <f t="shared" si="30"/>
        <v>-0.13145394934460075</v>
      </c>
      <c r="W103" s="62">
        <f t="shared" si="30"/>
        <v>-0.17955941953844157</v>
      </c>
      <c r="X103" s="62">
        <f t="shared" si="30"/>
        <v>4.3453824082346353</v>
      </c>
      <c r="Y103" s="62">
        <f t="shared" si="30"/>
        <v>4.7799206490580994</v>
      </c>
      <c r="Z103" s="62">
        <f t="shared" si="30"/>
        <v>5.2579127139639095</v>
      </c>
      <c r="AA103" s="62">
        <f t="shared" si="30"/>
        <v>5.7837039853603009</v>
      </c>
      <c r="AB103" s="62">
        <f t="shared" si="30"/>
        <v>6.3620743838963332</v>
      </c>
      <c r="AC103" s="62">
        <f t="shared" si="30"/>
        <v>6.998281822285966</v>
      </c>
      <c r="AD103" s="62">
        <f t="shared" si="30"/>
        <v>7.6981100045145627</v>
      </c>
      <c r="AE103" s="62">
        <f t="shared" si="30"/>
        <v>8.4679210049660192</v>
      </c>
      <c r="AF103" s="62">
        <f t="shared" si="30"/>
        <v>9.3147131054626229</v>
      </c>
      <c r="AG103" s="62">
        <f t="shared" si="30"/>
        <v>10.246184416008886</v>
      </c>
      <c r="AH103" s="62">
        <f t="shared" si="30"/>
        <v>11.270802857609773</v>
      </c>
      <c r="AI103" s="62">
        <f t="shared" si="30"/>
        <v>12.397883143370754</v>
      </c>
      <c r="AJ103" s="62">
        <f t="shared" si="30"/>
        <v>13.637671457707828</v>
      </c>
      <c r="AK103" s="62">
        <f t="shared" si="30"/>
        <v>15.001438603478615</v>
      </c>
      <c r="AL103" s="62">
        <f t="shared" si="30"/>
        <v>16.501582463826477</v>
      </c>
      <c r="AM103" s="62">
        <f t="shared" si="30"/>
        <v>0</v>
      </c>
      <c r="AN103" s="62">
        <f t="shared" si="30"/>
        <v>0</v>
      </c>
      <c r="AO103" s="62">
        <f t="shared" si="30"/>
        <v>0</v>
      </c>
      <c r="AP103" s="62">
        <f t="shared" si="30"/>
        <v>0</v>
      </c>
      <c r="AQ103" s="62">
        <f t="shared" si="30"/>
        <v>0</v>
      </c>
    </row>
    <row r="104" spans="1:149" x14ac:dyDescent="0.3">
      <c r="H104" s="90"/>
    </row>
    <row r="105" spans="1:149" x14ac:dyDescent="0.3"/>
    <row r="106" spans="1:149" s="47" customFormat="1" hidden="1" x14ac:dyDescent="0.3">
      <c r="A106" s="46"/>
      <c r="B106" s="46"/>
      <c r="C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</row>
    <row r="107" spans="1:149" s="47" customFormat="1" hidden="1" x14ac:dyDescent="0.3">
      <c r="A107" s="46"/>
      <c r="B107" s="46"/>
      <c r="C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</row>
    <row r="108" spans="1:149" s="47" customFormat="1" hidden="1" x14ac:dyDescent="0.3">
      <c r="A108" s="46"/>
      <c r="B108" s="46"/>
      <c r="C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</row>
    <row r="109" spans="1:149" s="47" customFormat="1" hidden="1" x14ac:dyDescent="0.3">
      <c r="A109" s="46"/>
      <c r="B109" s="46"/>
      <c r="C109" s="46" t="s">
        <v>31</v>
      </c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</row>
    <row r="110" spans="1:149" s="47" customFormat="1" hidden="1" x14ac:dyDescent="0.3">
      <c r="A110" s="46"/>
      <c r="B110" s="46"/>
      <c r="C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</row>
    <row r="111" spans="1:149" s="47" customFormat="1" hidden="1" x14ac:dyDescent="0.3">
      <c r="A111" s="46"/>
      <c r="B111" s="46"/>
      <c r="C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/>
      <c r="EO111" s="46"/>
      <c r="EP111" s="46"/>
      <c r="EQ111" s="46"/>
      <c r="ER111" s="46"/>
      <c r="ES111" s="46"/>
    </row>
    <row r="112" spans="1:149" s="47" customFormat="1" hidden="1" x14ac:dyDescent="0.3">
      <c r="A112" s="46"/>
      <c r="B112" s="46"/>
      <c r="C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</row>
    <row r="113" spans="1:149" s="47" customFormat="1" hidden="1" x14ac:dyDescent="0.3">
      <c r="A113" s="46"/>
      <c r="B113" s="46"/>
      <c r="C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</row>
    <row r="114" spans="1:149" s="47" customFormat="1" hidden="1" x14ac:dyDescent="0.3">
      <c r="A114" s="46"/>
      <c r="B114" s="46"/>
      <c r="C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</row>
    <row r="115" spans="1:149" s="47" customFormat="1" hidden="1" x14ac:dyDescent="0.3">
      <c r="A115" s="46"/>
      <c r="B115" s="46"/>
      <c r="C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</row>
    <row r="116" spans="1:149" s="47" customFormat="1" hidden="1" x14ac:dyDescent="0.3">
      <c r="A116" s="46"/>
      <c r="B116" s="46"/>
      <c r="C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</row>
    <row r="117" spans="1:149" s="47" customFormat="1" hidden="1" x14ac:dyDescent="0.3">
      <c r="A117" s="46"/>
      <c r="B117" s="46"/>
      <c r="C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</row>
    <row r="118" spans="1:149" s="47" customFormat="1" ht="13.65" hidden="1" customHeight="1" x14ac:dyDescent="0.3">
      <c r="A118" s="46"/>
      <c r="B118" s="46"/>
      <c r="C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</row>
    <row r="119" spans="1:149" s="47" customFormat="1" hidden="1" x14ac:dyDescent="0.3">
      <c r="A119" s="46"/>
      <c r="B119" s="46"/>
      <c r="C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</row>
    <row r="120" spans="1:149" s="47" customFormat="1" hidden="1" x14ac:dyDescent="0.3">
      <c r="A120" s="46"/>
      <c r="B120" s="46"/>
      <c r="C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</row>
    <row r="121" spans="1:149" s="47" customFormat="1" hidden="1" x14ac:dyDescent="0.3">
      <c r="A121" s="46"/>
      <c r="B121" s="46"/>
      <c r="C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</row>
    <row r="122" spans="1:149" hidden="1" x14ac:dyDescent="0.3"/>
    <row r="123" spans="1:149" hidden="1" x14ac:dyDescent="0.3"/>
    <row r="124" spans="1:149" hidden="1" x14ac:dyDescent="0.3"/>
    <row r="125" spans="1:149" hidden="1" x14ac:dyDescent="0.3"/>
    <row r="126" spans="1:149" hidden="1" x14ac:dyDescent="0.3"/>
    <row r="127" spans="1:149" hidden="1" x14ac:dyDescent="0.3"/>
    <row r="128" spans="1:149" hidden="1" x14ac:dyDescent="0.3"/>
    <row r="129" hidden="1" x14ac:dyDescent="0.3"/>
    <row r="130" hidden="1" x14ac:dyDescent="0.3"/>
    <row r="131" hidden="1" x14ac:dyDescent="0.3"/>
    <row r="132" hidden="1" x14ac:dyDescent="0.3"/>
    <row r="133" hidden="1" x14ac:dyDescent="0.3"/>
    <row r="134" hidden="1" x14ac:dyDescent="0.3"/>
    <row r="135" hidden="1" x14ac:dyDescent="0.3"/>
    <row r="136" hidden="1" x14ac:dyDescent="0.3"/>
    <row r="137" hidden="1" x14ac:dyDescent="0.3"/>
    <row r="138" hidden="1" x14ac:dyDescent="0.3"/>
    <row r="139" hidden="1" x14ac:dyDescent="0.3"/>
    <row r="140" hidden="1" x14ac:dyDescent="0.3"/>
    <row r="141" hidden="1" x14ac:dyDescent="0.3"/>
    <row r="142" hidden="1" x14ac:dyDescent="0.3"/>
    <row r="143" hidden="1" x14ac:dyDescent="0.3"/>
    <row r="144" hidden="1" x14ac:dyDescent="0.3"/>
    <row r="145" hidden="1" x14ac:dyDescent="0.3"/>
    <row r="146" hidden="1" collapsed="1" x14ac:dyDescent="0.3"/>
    <row r="147" hidden="1" x14ac:dyDescent="0.3"/>
    <row r="148" hidden="1" x14ac:dyDescent="0.3"/>
    <row r="149" hidden="1" x14ac:dyDescent="0.3"/>
    <row r="150" hidden="1" x14ac:dyDescent="0.3"/>
    <row r="151" hidden="1" x14ac:dyDescent="0.3"/>
    <row r="152" hidden="1" x14ac:dyDescent="0.3"/>
    <row r="153" hidden="1" x14ac:dyDescent="0.3"/>
    <row r="154" hidden="1" collapsed="1" x14ac:dyDescent="0.3"/>
    <row r="155" hidden="1" x14ac:dyDescent="0.3"/>
    <row r="156" hidden="1" x14ac:dyDescent="0.3"/>
    <row r="157" hidden="1" x14ac:dyDescent="0.3"/>
    <row r="158" hidden="1" x14ac:dyDescent="0.3"/>
    <row r="159" hidden="1" x14ac:dyDescent="0.3"/>
    <row r="160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collapsed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collapsed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collapsed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hidden="1" x14ac:dyDescent="0.3"/>
    <row r="267" hidden="1" x14ac:dyDescent="0.3"/>
    <row r="268" x14ac:dyDescent="0.3"/>
  </sheetData>
  <pageMargins left="0.7" right="0.7" top="0.75" bottom="0.75" header="0.3" footer="0.3"/>
  <ignoredErrors>
    <ignoredError sqref="E29:F30 E32:F33 E40 E37:E39 E43:F43 F53 F6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-&gt;</vt:lpstr>
      <vt:lpstr>Inputs</vt:lpstr>
      <vt:lpstr>TE Model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</dc:creator>
  <cp:lastModifiedBy>Harrison</cp:lastModifiedBy>
  <dcterms:created xsi:type="dcterms:W3CDTF">2023-10-14T13:21:10Z</dcterms:created>
  <dcterms:modified xsi:type="dcterms:W3CDTF">2023-10-14T23:09:28Z</dcterms:modified>
</cp:coreProperties>
</file>